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ss\OneDrive\Documents\Integrated Business Experience\UPB Loan Presentation\"/>
    </mc:Choice>
  </mc:AlternateContent>
  <xr:revisionPtr revIDLastSave="5" documentId="114_{44F8D3A9-EAC9-4D51-AA4A-D6C1BB8FC414}" xr6:coauthVersionLast="40" xr6:coauthVersionMax="40" xr10:uidLastSave="{A696793C-72CC-4521-BA56-3EE17C07A877}"/>
  <bookViews>
    <workbookView xWindow="-108" yWindow="-108" windowWidth="23256" windowHeight="12576" activeTab="1" xr2:uid="{DBC4AD82-2780-4A3A-A10E-DE4DEA24E75E}"/>
  </bookViews>
  <sheets>
    <sheet name="Balance Sheet &amp; Income Statemen" sheetId="1" r:id="rId1"/>
    <sheet name="Inventory &amp; Sales" sheetId="3" r:id="rId2"/>
    <sheet name="Borrowing Base Certificate" sheetId="2" r:id="rId3"/>
    <sheet name="Breakeven Analysi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3" l="1"/>
  <c r="N8" i="3"/>
  <c r="N58" i="1" l="1"/>
  <c r="F40" i="1"/>
  <c r="F43" i="1"/>
  <c r="J60" i="1"/>
  <c r="I60" i="1"/>
  <c r="H60" i="1"/>
  <c r="G60" i="1"/>
  <c r="F60" i="1"/>
  <c r="D60" i="1"/>
  <c r="L60" i="1"/>
  <c r="K60" i="1"/>
  <c r="L50" i="1"/>
  <c r="K50" i="1"/>
  <c r="J50" i="1"/>
  <c r="I50" i="1"/>
  <c r="H50" i="1"/>
  <c r="G50" i="1"/>
  <c r="F50" i="1"/>
  <c r="N50" i="1"/>
  <c r="F10" i="2" l="1"/>
  <c r="F9" i="2"/>
  <c r="D58" i="1" l="1"/>
  <c r="F11" i="1"/>
  <c r="F58" i="1" l="1"/>
  <c r="G58" i="1"/>
  <c r="H58" i="1"/>
  <c r="I58" i="1"/>
  <c r="J58" i="1"/>
  <c r="K58" i="1"/>
  <c r="E58" i="1"/>
  <c r="J14" i="2"/>
  <c r="L18" i="2"/>
  <c r="J18" i="2"/>
  <c r="J11" i="2"/>
  <c r="S18" i="3" l="1"/>
  <c r="T18" i="3"/>
  <c r="T19" i="3"/>
  <c r="T20" i="3"/>
  <c r="F12" i="1"/>
  <c r="I37" i="1"/>
  <c r="I39" i="1" s="1"/>
  <c r="F37" i="1"/>
  <c r="F39" i="1" s="1"/>
  <c r="N30" i="3" l="1"/>
  <c r="N29" i="3"/>
  <c r="N28" i="3"/>
  <c r="N26" i="3"/>
  <c r="N25" i="3"/>
  <c r="N24" i="3"/>
  <c r="N23" i="3"/>
  <c r="N21" i="3"/>
  <c r="N20" i="3"/>
  <c r="N19" i="3"/>
  <c r="N18" i="3"/>
  <c r="N15" i="3"/>
  <c r="N14" i="3"/>
  <c r="N13" i="3"/>
  <c r="N9" i="3"/>
  <c r="N45" i="3"/>
  <c r="N44" i="3"/>
  <c r="N43" i="3"/>
  <c r="N38" i="3"/>
  <c r="N39" i="3"/>
  <c r="N40" i="3"/>
  <c r="N31" i="3"/>
  <c r="N12" i="3" l="1"/>
  <c r="N17" i="3" s="1"/>
  <c r="N22" i="3" s="1"/>
  <c r="N27" i="3" s="1"/>
  <c r="N32" i="3" s="1"/>
  <c r="R18" i="3" l="1"/>
  <c r="I46" i="1" s="1"/>
  <c r="M31" i="3"/>
  <c r="M29" i="3"/>
  <c r="M30" i="3"/>
  <c r="I17" i="3" l="1"/>
  <c r="I22" i="3" s="1"/>
  <c r="I27" i="3" s="1"/>
  <c r="I32" i="3" s="1"/>
  <c r="I37" i="3" s="1"/>
  <c r="J17" i="3"/>
  <c r="K17" i="3"/>
  <c r="J22" i="3"/>
  <c r="J27" i="3" s="1"/>
  <c r="J32" i="3" s="1"/>
  <c r="J37" i="3" s="1"/>
  <c r="K22" i="3"/>
  <c r="K27" i="3" s="1"/>
  <c r="K32" i="3" s="1"/>
  <c r="K37" i="3" s="1"/>
  <c r="G47" i="3"/>
  <c r="G42" i="3"/>
  <c r="G37" i="3"/>
  <c r="G27" i="3"/>
  <c r="G32" i="3"/>
  <c r="G22" i="3"/>
  <c r="G17" i="3"/>
  <c r="G12" i="1" l="1"/>
  <c r="H12" i="1" s="1"/>
  <c r="I12" i="1" s="1"/>
  <c r="J12" i="1" s="1"/>
  <c r="K12" i="1" s="1"/>
  <c r="L12" i="1" s="1"/>
  <c r="D18" i="1" l="1"/>
  <c r="E19" i="1" s="1"/>
  <c r="L20" i="4"/>
  <c r="D10" i="4" s="1"/>
  <c r="L13" i="4"/>
  <c r="H9" i="4" s="1"/>
  <c r="L8" i="4"/>
  <c r="D9" i="4" s="1"/>
  <c r="N53" i="1"/>
  <c r="N54" i="1"/>
  <c r="N55" i="1"/>
  <c r="N38" i="1"/>
  <c r="N41" i="1"/>
  <c r="T26" i="3"/>
  <c r="E37" i="1" s="1"/>
  <c r="E39" i="1" s="1"/>
  <c r="S26" i="3"/>
  <c r="E36" i="1" s="1"/>
  <c r="R26" i="3"/>
  <c r="E35" i="1" s="1"/>
  <c r="T21" i="3"/>
  <c r="L48" i="1" s="1"/>
  <c r="S21" i="3"/>
  <c r="L47" i="1" s="1"/>
  <c r="R21" i="3"/>
  <c r="L46" i="1" s="1"/>
  <c r="S20" i="3"/>
  <c r="K47" i="1" s="1"/>
  <c r="K48" i="1"/>
  <c r="R20" i="3"/>
  <c r="K46" i="1" s="1"/>
  <c r="R19" i="3"/>
  <c r="J46" i="1" s="1"/>
  <c r="S19" i="3"/>
  <c r="J47" i="1" s="1"/>
  <c r="J48" i="1"/>
  <c r="I47" i="1"/>
  <c r="I48" i="1"/>
  <c r="T17" i="3"/>
  <c r="H48" i="1" s="1"/>
  <c r="R17" i="3"/>
  <c r="H46" i="1" s="1"/>
  <c r="S17" i="3"/>
  <c r="H47" i="1" s="1"/>
  <c r="R16" i="3"/>
  <c r="G46" i="1" s="1"/>
  <c r="S16" i="3"/>
  <c r="G47" i="1" s="1"/>
  <c r="T16" i="3"/>
  <c r="G48" i="1" s="1"/>
  <c r="R15" i="3"/>
  <c r="F46" i="1" s="1"/>
  <c r="T15" i="3"/>
  <c r="F48" i="1" s="1"/>
  <c r="S15" i="3"/>
  <c r="F47" i="1" s="1"/>
  <c r="R14" i="3"/>
  <c r="E46" i="1" s="1"/>
  <c r="S14" i="3"/>
  <c r="E47" i="1" s="1"/>
  <c r="T14" i="3"/>
  <c r="E48" i="1" s="1"/>
  <c r="M44" i="3"/>
  <c r="S33" i="3" s="1"/>
  <c r="L36" i="1" s="1"/>
  <c r="N46" i="3"/>
  <c r="M46" i="3"/>
  <c r="M45" i="3"/>
  <c r="T33" i="3" s="1"/>
  <c r="L37" i="1" s="1"/>
  <c r="L39" i="1" s="1"/>
  <c r="M43" i="3"/>
  <c r="R33" i="3" s="1"/>
  <c r="L35" i="1" s="1"/>
  <c r="N41" i="3"/>
  <c r="M41" i="3"/>
  <c r="M40" i="3"/>
  <c r="T32" i="3" s="1"/>
  <c r="K37" i="1" s="1"/>
  <c r="K39" i="1" s="1"/>
  <c r="M39" i="3"/>
  <c r="S32" i="3" s="1"/>
  <c r="K36" i="1" s="1"/>
  <c r="M38" i="3"/>
  <c r="R32" i="3" s="1"/>
  <c r="K35" i="1" s="1"/>
  <c r="N36" i="3"/>
  <c r="M36" i="3"/>
  <c r="T31" i="3" s="1"/>
  <c r="J37" i="1" s="1"/>
  <c r="J39" i="1" s="1"/>
  <c r="N35" i="3"/>
  <c r="M35" i="3"/>
  <c r="N34" i="3"/>
  <c r="M34" i="3"/>
  <c r="N33" i="3"/>
  <c r="M33" i="3"/>
  <c r="S31" i="3" s="1"/>
  <c r="J36" i="1" s="1"/>
  <c r="R30" i="3"/>
  <c r="I35" i="1" s="1"/>
  <c r="S30" i="3"/>
  <c r="I36" i="1" s="1"/>
  <c r="M28" i="3"/>
  <c r="T30" i="3" s="1"/>
  <c r="M26" i="3"/>
  <c r="M25" i="3"/>
  <c r="M24" i="3"/>
  <c r="T29" i="3" s="1"/>
  <c r="H37" i="1" s="1"/>
  <c r="H39" i="1" s="1"/>
  <c r="M23" i="3"/>
  <c r="R29" i="3" s="1"/>
  <c r="H35" i="1" s="1"/>
  <c r="M21" i="3"/>
  <c r="M20" i="3"/>
  <c r="M19" i="3"/>
  <c r="T28" i="3" s="1"/>
  <c r="G37" i="1" s="1"/>
  <c r="G39" i="1" s="1"/>
  <c r="M18" i="3"/>
  <c r="R28" i="3" s="1"/>
  <c r="G35" i="1" s="1"/>
  <c r="N16" i="3"/>
  <c r="M16" i="3"/>
  <c r="M15" i="3"/>
  <c r="S27" i="3" s="1"/>
  <c r="F36" i="1" s="1"/>
  <c r="M14" i="3"/>
  <c r="T27" i="3" s="1"/>
  <c r="M13" i="3"/>
  <c r="R27" i="3" s="1"/>
  <c r="F35" i="1" s="1"/>
  <c r="N10" i="3"/>
  <c r="N11" i="3"/>
  <c r="N7" i="3"/>
  <c r="M10" i="3"/>
  <c r="M9" i="3"/>
  <c r="M11" i="3"/>
  <c r="M7" i="3"/>
  <c r="I12" i="3"/>
  <c r="J12" i="3"/>
  <c r="K12" i="3"/>
  <c r="D8" i="1"/>
  <c r="M21" i="1"/>
  <c r="D21" i="1"/>
  <c r="N37" i="3" l="1"/>
  <c r="N42" i="3" s="1"/>
  <c r="N47" i="3" s="1"/>
  <c r="N48" i="3" s="1"/>
  <c r="R31" i="3"/>
  <c r="J35" i="1" s="1"/>
  <c r="J34" i="1" s="1"/>
  <c r="J40" i="1" s="1"/>
  <c r="J43" i="1" s="1"/>
  <c r="S29" i="3"/>
  <c r="H36" i="1" s="1"/>
  <c r="H34" i="1" s="1"/>
  <c r="H40" i="1" s="1"/>
  <c r="H43" i="1" s="1"/>
  <c r="I42" i="3"/>
  <c r="I47" i="3" s="1"/>
  <c r="I48" i="3" s="1"/>
  <c r="R48" i="3" s="1"/>
  <c r="M9" i="1" s="1"/>
  <c r="R40" i="3"/>
  <c r="E9" i="1" s="1"/>
  <c r="T40" i="3"/>
  <c r="E11" i="1" s="1"/>
  <c r="J42" i="3"/>
  <c r="J47" i="3" s="1"/>
  <c r="J48" i="3" s="1"/>
  <c r="S48" i="3" s="1"/>
  <c r="M10" i="1" s="1"/>
  <c r="S40" i="3"/>
  <c r="E10" i="1" s="1"/>
  <c r="E8" i="2"/>
  <c r="E18" i="1"/>
  <c r="E21" i="1" s="1"/>
  <c r="D7" i="1"/>
  <c r="S28" i="3"/>
  <c r="G36" i="1" s="1"/>
  <c r="G34" i="1" s="1"/>
  <c r="G40" i="1" s="1"/>
  <c r="G43" i="1" s="1"/>
  <c r="S45" i="3"/>
  <c r="J10" i="1" s="1"/>
  <c r="S47" i="3"/>
  <c r="L10" i="1" s="1"/>
  <c r="R44" i="3"/>
  <c r="I9" i="1" s="1"/>
  <c r="R41" i="3"/>
  <c r="F9" i="1" s="1"/>
  <c r="R45" i="3"/>
  <c r="J9" i="1" s="1"/>
  <c r="R42" i="3"/>
  <c r="G9" i="1" s="1"/>
  <c r="R46" i="3"/>
  <c r="K9" i="1" s="1"/>
  <c r="R43" i="3"/>
  <c r="H9" i="1" s="1"/>
  <c r="R47" i="3"/>
  <c r="L9" i="1" s="1"/>
  <c r="E34" i="1"/>
  <c r="E40" i="1" s="1"/>
  <c r="E50" i="1"/>
  <c r="N47" i="1"/>
  <c r="N48" i="1"/>
  <c r="L34" i="1"/>
  <c r="L40" i="1" s="1"/>
  <c r="L43" i="1" s="1"/>
  <c r="N46" i="1"/>
  <c r="D16" i="4"/>
  <c r="D11" i="4"/>
  <c r="D14" i="4" s="1"/>
  <c r="H10" i="4"/>
  <c r="H11" i="4" s="1"/>
  <c r="H16" i="4"/>
  <c r="K34" i="1"/>
  <c r="K40" i="1" s="1"/>
  <c r="K43" i="1" s="1"/>
  <c r="M12" i="3"/>
  <c r="M17" i="3" s="1"/>
  <c r="M22" i="3" s="1"/>
  <c r="M27" i="3" s="1"/>
  <c r="M32" i="3" s="1"/>
  <c r="M37" i="3" s="1"/>
  <c r="M42" i="3" s="1"/>
  <c r="M47" i="3" s="1"/>
  <c r="M48" i="3" s="1"/>
  <c r="E8" i="1" l="1"/>
  <c r="J69" i="1"/>
  <c r="G69" i="1"/>
  <c r="D14" i="1"/>
  <c r="N35" i="1"/>
  <c r="S46" i="3"/>
  <c r="K10" i="1" s="1"/>
  <c r="S43" i="3"/>
  <c r="H10" i="1" s="1"/>
  <c r="S44" i="3"/>
  <c r="I10" i="1" s="1"/>
  <c r="T41" i="3"/>
  <c r="N36" i="1"/>
  <c r="S42" i="3"/>
  <c r="G10" i="1" s="1"/>
  <c r="S41" i="3"/>
  <c r="F10" i="1" s="1"/>
  <c r="D26" i="1"/>
  <c r="D28" i="1" s="1"/>
  <c r="N37" i="1"/>
  <c r="F34" i="1"/>
  <c r="F19" i="1"/>
  <c r="F18" i="1"/>
  <c r="E68" i="1"/>
  <c r="K69" i="1"/>
  <c r="N39" i="1"/>
  <c r="I34" i="1"/>
  <c r="I40" i="1" s="1"/>
  <c r="I43" i="1" s="1"/>
  <c r="H69" i="1"/>
  <c r="E43" i="1"/>
  <c r="D13" i="4"/>
  <c r="H14" i="4"/>
  <c r="H13" i="4"/>
  <c r="E60" i="1" l="1"/>
  <c r="N43" i="1"/>
  <c r="E67" i="1"/>
  <c r="E65" i="1"/>
  <c r="E7" i="1"/>
  <c r="F7" i="1"/>
  <c r="G7" i="1" s="1"/>
  <c r="H7" i="1" s="1"/>
  <c r="I7" i="1" s="1"/>
  <c r="I69" i="1"/>
  <c r="F8" i="1"/>
  <c r="F68" i="1" s="1"/>
  <c r="T42" i="3"/>
  <c r="G11" i="1" s="1"/>
  <c r="G8" i="1" s="1"/>
  <c r="G68" i="1" s="1"/>
  <c r="G18" i="1"/>
  <c r="G19" i="1"/>
  <c r="F21" i="1"/>
  <c r="N34" i="1"/>
  <c r="N40" i="1"/>
  <c r="J7" i="1" l="1"/>
  <c r="K7" i="1" s="1"/>
  <c r="L7" i="1" s="1"/>
  <c r="F69" i="1"/>
  <c r="H19" i="1"/>
  <c r="T43" i="3"/>
  <c r="H11" i="1" s="1"/>
  <c r="H8" i="1" s="1"/>
  <c r="H68" i="1" s="1"/>
  <c r="F66" i="1"/>
  <c r="E14" i="1"/>
  <c r="E66" i="1"/>
  <c r="H18" i="1"/>
  <c r="G21" i="1"/>
  <c r="E69" i="1"/>
  <c r="E24" i="1" l="1"/>
  <c r="F65" i="1"/>
  <c r="I19" i="1"/>
  <c r="T44" i="3"/>
  <c r="I11" i="1" s="1"/>
  <c r="I8" i="1" s="1"/>
  <c r="I68" i="1" s="1"/>
  <c r="G66" i="1"/>
  <c r="F14" i="1"/>
  <c r="F24" i="1" s="1"/>
  <c r="F26" i="1" s="1"/>
  <c r="F28" i="1" s="1"/>
  <c r="E26" i="1"/>
  <c r="E28" i="1" s="1"/>
  <c r="F67" i="1"/>
  <c r="I18" i="1"/>
  <c r="H21" i="1"/>
  <c r="K42" i="3" l="1"/>
  <c r="T45" i="3"/>
  <c r="J11" i="1" s="1"/>
  <c r="J8" i="1" s="1"/>
  <c r="J68" i="1" s="1"/>
  <c r="G14" i="1"/>
  <c r="G24" i="1" s="1"/>
  <c r="G26" i="1" s="1"/>
  <c r="G28" i="1" s="1"/>
  <c r="G65" i="1"/>
  <c r="G67" i="1"/>
  <c r="J18" i="1"/>
  <c r="I21" i="1"/>
  <c r="J19" i="1"/>
  <c r="H65" i="1" l="1"/>
  <c r="H67" i="1"/>
  <c r="K47" i="3"/>
  <c r="T46" i="3"/>
  <c r="K11" i="1" s="1"/>
  <c r="K8" i="1" s="1"/>
  <c r="K68" i="1" s="1"/>
  <c r="H14" i="1"/>
  <c r="H24" i="1" s="1"/>
  <c r="H26" i="1" s="1"/>
  <c r="H28" i="1" s="1"/>
  <c r="K19" i="1"/>
  <c r="H66" i="1"/>
  <c r="K18" i="1"/>
  <c r="J21" i="1"/>
  <c r="L19" i="1" l="1"/>
  <c r="L56" i="1" s="1"/>
  <c r="I65" i="1"/>
  <c r="I67" i="1"/>
  <c r="K48" i="3"/>
  <c r="T48" i="3" s="1"/>
  <c r="M11" i="1" s="1"/>
  <c r="M8" i="1" s="1"/>
  <c r="T47" i="3"/>
  <c r="L11" i="1" s="1"/>
  <c r="L8" i="1" s="1"/>
  <c r="L68" i="1" s="1"/>
  <c r="I66" i="1"/>
  <c r="I14" i="1"/>
  <c r="I24" i="1" s="1"/>
  <c r="I26" i="1" s="1"/>
  <c r="I28" i="1" s="1"/>
  <c r="J66" i="1"/>
  <c r="L18" i="1"/>
  <c r="L21" i="1" s="1"/>
  <c r="K21" i="1"/>
  <c r="N56" i="1" l="1"/>
  <c r="L58" i="1"/>
  <c r="J65" i="1"/>
  <c r="J67" i="1"/>
  <c r="J14" i="1"/>
  <c r="J24" i="1" s="1"/>
  <c r="J26" i="1" s="1"/>
  <c r="J28" i="1" s="1"/>
  <c r="M7" i="1" l="1"/>
  <c r="T5" i="1" s="1"/>
  <c r="N60" i="1"/>
  <c r="K66" i="1"/>
  <c r="K14" i="1"/>
  <c r="K24" i="1" s="1"/>
  <c r="K26" i="1" s="1"/>
  <c r="K28" i="1" s="1"/>
  <c r="K65" i="1"/>
  <c r="K67" i="1"/>
  <c r="L66" i="1"/>
  <c r="L14" i="1"/>
  <c r="L24" i="1" s="1"/>
  <c r="L26" i="1" s="1"/>
  <c r="L28" i="1" s="1"/>
  <c r="M14" i="1" l="1"/>
  <c r="M24" i="1" s="1"/>
  <c r="M26" i="1" s="1"/>
  <c r="M28" i="1" s="1"/>
  <c r="L69" i="1"/>
  <c r="E72" i="1"/>
  <c r="L65" i="1"/>
  <c r="L67" i="1"/>
</calcChain>
</file>

<file path=xl/sharedStrings.xml><?xml version="1.0" encoding="utf-8"?>
<sst xmlns="http://schemas.openxmlformats.org/spreadsheetml/2006/main" count="242" uniqueCount="132">
  <si>
    <t>Riverbend Retailers</t>
  </si>
  <si>
    <t>Integrated Business Experience</t>
  </si>
  <si>
    <t>Balance Sheet</t>
  </si>
  <si>
    <t>Beginning Balance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</si>
  <si>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</si>
  <si>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</si>
  <si>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</si>
  <si>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</si>
  <si>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</si>
  <si>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</si>
  <si>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</si>
  <si>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</si>
  <si>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Ending Balance</t>
  </si>
  <si>
    <t>Assets</t>
  </si>
  <si>
    <t>Cash</t>
  </si>
  <si>
    <t>Total Inventory</t>
  </si>
  <si>
    <t>Supplies</t>
  </si>
  <si>
    <t>Total Assets</t>
  </si>
  <si>
    <t>Liabilities</t>
  </si>
  <si>
    <t>Accounts Payable</t>
  </si>
  <si>
    <t>Short-Term Debt</t>
  </si>
  <si>
    <t>Interest Payable</t>
  </si>
  <si>
    <t>Total Liabilities</t>
  </si>
  <si>
    <t>Income Statement</t>
  </si>
  <si>
    <t>Revenues</t>
  </si>
  <si>
    <t>Totals</t>
  </si>
  <si>
    <t>Gross Sales</t>
  </si>
  <si>
    <t xml:space="preserve">    Cash Sales</t>
  </si>
  <si>
    <t xml:space="preserve">    Venmo Sales</t>
  </si>
  <si>
    <t xml:space="preserve">    Credit Sales</t>
  </si>
  <si>
    <t>&lt;Less Sales Discounts&gt;</t>
  </si>
  <si>
    <t>&lt;Less Credit Fee&gt;</t>
  </si>
  <si>
    <t>Net Sales</t>
  </si>
  <si>
    <t>Expenses</t>
  </si>
  <si>
    <t>Cost of Goods Sold</t>
  </si>
  <si>
    <t>Marketing Expense</t>
  </si>
  <si>
    <t>Supplies Expense</t>
  </si>
  <si>
    <t>Interest Expense</t>
  </si>
  <si>
    <t>Total Expenses</t>
  </si>
  <si>
    <t>Net Operating Income</t>
  </si>
  <si>
    <t>Ratio Analysis</t>
  </si>
  <si>
    <t>Current Ratio</t>
  </si>
  <si>
    <t>Cash Ratio</t>
  </si>
  <si>
    <t>Debt Ratio</t>
  </si>
  <si>
    <t>Inventory Turnover Ratio</t>
  </si>
  <si>
    <t>Net Profit Margin</t>
  </si>
  <si>
    <t>Debt Service Coverage Ratio</t>
  </si>
  <si>
    <t>Retained Earnings</t>
  </si>
  <si>
    <t>Total Stockholder's Equity</t>
  </si>
  <si>
    <t>Shareholder's Equity</t>
  </si>
  <si>
    <t>Total Liabilities &amp; SE</t>
  </si>
  <si>
    <t>Borrowing Base Certificate</t>
  </si>
  <si>
    <t>Credit</t>
  </si>
  <si>
    <t xml:space="preserve">    Flags</t>
  </si>
  <si>
    <t xml:space="preserve">    Loan Fee</t>
  </si>
  <si>
    <t>Week</t>
  </si>
  <si>
    <t>Date</t>
  </si>
  <si>
    <t>Buy or Sell?</t>
  </si>
  <si>
    <t>Product Cost</t>
  </si>
  <si>
    <t>Selling Price</t>
  </si>
  <si>
    <t>MSU Flag</t>
  </si>
  <si>
    <t>MN Flag</t>
  </si>
  <si>
    <t>Wooden Sign</t>
  </si>
  <si>
    <t>Inventory Quantities</t>
  </si>
  <si>
    <t>BEG INV</t>
  </si>
  <si>
    <t>Selling Method</t>
  </si>
  <si>
    <t>Inventory &amp; Sales Tracking</t>
  </si>
  <si>
    <t>Gross Profit</t>
  </si>
  <si>
    <t>buy</t>
  </si>
  <si>
    <t>cash</t>
  </si>
  <si>
    <t>venmo</t>
  </si>
  <si>
    <t>credit</t>
  </si>
  <si>
    <t>sell</t>
  </si>
  <si>
    <t>Inventory</t>
  </si>
  <si>
    <t>Reminder</t>
  </si>
  <si>
    <t>If you are going to add inventory, make Q positive. If you are removing [selling] inventory, make Q negative.</t>
  </si>
  <si>
    <t>Weekly Cost of Goods Sold</t>
  </si>
  <si>
    <t>Weekly Transaction Totals</t>
  </si>
  <si>
    <t>Venmo</t>
  </si>
  <si>
    <t>END INV</t>
  </si>
  <si>
    <t>Weekly Inventory Amounts</t>
  </si>
  <si>
    <t>MSU Flags</t>
  </si>
  <si>
    <t>MN Flags</t>
  </si>
  <si>
    <t>Wooden Signs</t>
  </si>
  <si>
    <t>End Balance</t>
  </si>
  <si>
    <t>Miscellaneous Income</t>
  </si>
  <si>
    <t>Total Revenues</t>
  </si>
  <si>
    <t>Breakeven Analysis</t>
  </si>
  <si>
    <t>Flags</t>
  </si>
  <si>
    <t>Signs</t>
  </si>
  <si>
    <t>Variable Costs - Flags</t>
  </si>
  <si>
    <t>Materials</t>
  </si>
  <si>
    <t xml:space="preserve">    Units Sold</t>
  </si>
  <si>
    <t>Shipping</t>
  </si>
  <si>
    <t>Costs (per Unit)</t>
  </si>
  <si>
    <t>Total</t>
  </si>
  <si>
    <t xml:space="preserve">    Variable Costs</t>
  </si>
  <si>
    <t xml:space="preserve">    Fixed Costs</t>
  </si>
  <si>
    <t>Variable Costs - Signs</t>
  </si>
  <si>
    <t xml:space="preserve">    Total Costs</t>
  </si>
  <si>
    <t>Revenue</t>
  </si>
  <si>
    <t xml:space="preserve">    Unit Margin</t>
  </si>
  <si>
    <t xml:space="preserve">    Gross Margin</t>
  </si>
  <si>
    <t>Break Even</t>
  </si>
  <si>
    <t>Fixed Costs</t>
  </si>
  <si>
    <t xml:space="preserve">    Units</t>
  </si>
  <si>
    <t>Initial Loan Amount</t>
  </si>
  <si>
    <t>Miscellaneous Income Log</t>
  </si>
  <si>
    <t>Income</t>
  </si>
  <si>
    <t>selling card reader (supplies)</t>
  </si>
  <si>
    <t xml:space="preserve">    Marketing Expense</t>
  </si>
  <si>
    <t>Amount Earned After Loan Payment</t>
  </si>
  <si>
    <t>Loan Fee</t>
  </si>
  <si>
    <t xml:space="preserve">    Cash Buffer</t>
  </si>
  <si>
    <t xml:space="preserve">    Sale Price</t>
  </si>
  <si>
    <t>Kato Flag #1</t>
  </si>
  <si>
    <t>Kato Flag #2</t>
  </si>
  <si>
    <t>Price per Flag</t>
  </si>
  <si>
    <t>Total Cost</t>
  </si>
  <si>
    <t xml:space="preserve">    Quantity</t>
  </si>
  <si>
    <t>Price Per Sign</t>
  </si>
  <si>
    <t xml:space="preserve">    Wooden Signs</t>
  </si>
  <si>
    <t>Per Item</t>
  </si>
  <si>
    <t>Wood</t>
  </si>
  <si>
    <t>Stain</t>
  </si>
  <si>
    <t>Writing</t>
  </si>
  <si>
    <t>Total Cost of Goods Sold</t>
  </si>
  <si>
    <t xml:space="preserve">    Card Reader</t>
  </si>
  <si>
    <t>Beginning</t>
  </si>
  <si>
    <t>Bank Expense</t>
  </si>
  <si>
    <t>Card Reader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</si>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</sst>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Source Sans Pro Black"/>
      <family val="2"/>
    </font>
    <font>
      <sz val="11"/>
      <color theme="1"/>
      <name val="Times New Roman"/>
      <family val="1"/>
    </font>
    <font>
      <i/>
      <sz val="11"/>
      <color theme="0"/>
      <name val="Times New Roman"/>
      <family val="1"/>
    </font>
    <font>
      <b/>
      <sz val="16"/>
      <color theme="4" tint="-0.249977111117893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44" fontId="5" fillId="0" borderId="0" xfId="0" applyNumberFormat="1" applyFont="1"/>
    <xf numFmtId="44" fontId="9" fillId="2" borderId="0" xfId="0" applyNumberFormat="1" applyFont="1" applyFill="1"/>
    <xf numFmtId="0" fontId="11" fillId="2" borderId="0" xfId="0" applyFont="1" applyFill="1"/>
    <xf numFmtId="44" fontId="5" fillId="2" borderId="0" xfId="0" applyNumberFormat="1" applyFont="1" applyFill="1"/>
    <xf numFmtId="44" fontId="11" fillId="2" borderId="0" xfId="0" applyNumberFormat="1" applyFont="1" applyFill="1"/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0" xfId="0" applyNumberFormat="1"/>
    <xf numFmtId="4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44" fontId="12" fillId="3" borderId="0" xfId="0" applyNumberFormat="1" applyFont="1" applyFill="1"/>
    <xf numFmtId="4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44" fontId="12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NumberFormat="1" applyFill="1"/>
    <xf numFmtId="44" fontId="0" fillId="0" borderId="0" xfId="0" applyNumberFormat="1" applyFill="1"/>
    <xf numFmtId="44" fontId="0" fillId="0" borderId="0" xfId="0" applyNumberForma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0" applyNumberFormat="1" applyBorder="1"/>
    <xf numFmtId="44" fontId="0" fillId="0" borderId="11" xfId="0" applyNumberFormat="1" applyBorder="1"/>
    <xf numFmtId="44" fontId="0" fillId="0" borderId="0" xfId="0" applyNumberFormat="1" applyBorder="1"/>
    <xf numFmtId="0" fontId="3" fillId="2" borderId="0" xfId="0" applyNumberFormat="1" applyFont="1" applyFill="1"/>
    <xf numFmtId="44" fontId="3" fillId="2" borderId="0" xfId="0" applyNumberFormat="1" applyFont="1" applyFill="1"/>
    <xf numFmtId="44" fontId="3" fillId="2" borderId="0" xfId="0" applyNumberFormat="1" applyFont="1" applyFill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/>
    <xf numFmtId="1" fontId="0" fillId="0" borderId="11" xfId="0" applyNumberFormat="1" applyBorder="1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5" fillId="0" borderId="0" xfId="1" applyFont="1" applyAlignment="1">
      <alignment horizontal="center"/>
    </xf>
    <xf numFmtId="0" fontId="10" fillId="0" borderId="0" xfId="0" applyFont="1" applyAlignment="1"/>
    <xf numFmtId="164" fontId="5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44" fontId="14" fillId="0" borderId="0" xfId="0" applyNumberFormat="1" applyFont="1" applyBorder="1"/>
    <xf numFmtId="44" fontId="14" fillId="0" borderId="8" xfId="0" applyNumberFormat="1" applyFont="1" applyBorder="1"/>
    <xf numFmtId="0" fontId="12" fillId="3" borderId="0" xfId="0" applyNumberFormat="1" applyFont="1" applyFill="1"/>
    <xf numFmtId="0" fontId="15" fillId="0" borderId="0" xfId="0" applyFont="1"/>
    <xf numFmtId="164" fontId="15" fillId="0" borderId="0" xfId="0" applyNumberFormat="1" applyFont="1"/>
    <xf numFmtId="44" fontId="0" fillId="0" borderId="8" xfId="2" applyFont="1" applyBorder="1"/>
    <xf numFmtId="44" fontId="0" fillId="0" borderId="5" xfId="2" applyFont="1" applyBorder="1"/>
    <xf numFmtId="44" fontId="0" fillId="0" borderId="0" xfId="2" applyFont="1" applyBorder="1"/>
    <xf numFmtId="44" fontId="0" fillId="0" borderId="10" xfId="2" applyFont="1" applyBorder="1"/>
    <xf numFmtId="44" fontId="0" fillId="0" borderId="11" xfId="2" applyFont="1" applyBorder="1"/>
    <xf numFmtId="0" fontId="11" fillId="2" borderId="0" xfId="0" applyFont="1" applyFill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66C1-8181-4C95-8CEF-E2135933847C}">
  <dimension ref="A1:AA72"/>
  <sheetViews>
    <sheetView showGridLines="0" zoomScale="90" zoomScaleNormal="90" workbookViewId="0">
      <selection activeCell="N58" sqref="N58"/>
    </sheetView>
  </sheetViews>
  <sheetFormatPr defaultColWidth="8.88671875" defaultRowHeight="13.8" x14ac:dyDescent="0.25"/>
  <cols>
    <col min="1" max="3" width="8.88671875" style="2"/>
    <col min="4" max="4" width="12.6640625" style="2" bestFit="1" customWidth="1"/>
    <col min="5" max="8" width="11.33203125" style="2" bestFit="1" customWidth="1"/>
    <col min="9" max="11" width="13.33203125" style="2" bestFit="1" customWidth="1"/>
    <col min="12" max="12" width="11.33203125" style="2" bestFit="1" customWidth="1"/>
    <col min="13" max="13" width="14.109375" style="2" bestFit="1" customWidth="1"/>
    <col min="14" max="14" width="11.33203125" style="2" bestFit="1" customWidth="1"/>
    <col min="15" max="15" width="8.88671875" style="2"/>
    <col min="16" max="17" width="9" style="2" customWidth="1"/>
    <col min="18" max="18" width="11.33203125" style="2" bestFit="1" customWidth="1"/>
    <col min="19" max="19" width="9" style="2" customWidth="1"/>
    <col min="20" max="20" width="11.5546875" style="2" bestFit="1" customWidth="1"/>
    <col min="21" max="16384" width="8.88671875" style="2"/>
  </cols>
  <sheetData>
    <row r="1" spans="1:27" ht="43.2" customHeight="1" x14ac:dyDescent="0.8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4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.8" customHeight="1" x14ac:dyDescent="0.25"/>
    <row r="4" spans="1:27" ht="20.399999999999999" x14ac:dyDescent="0.3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27" ht="27.6" customHeight="1" x14ac:dyDescent="0.25">
      <c r="D5" s="4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4" t="s">
        <v>12</v>
      </c>
      <c r="Q5" s="76" t="s">
        <v>111</v>
      </c>
      <c r="R5" s="76"/>
      <c r="S5" s="76"/>
      <c r="T5" s="12">
        <f>M7</f>
        <v>4476.6374999999998</v>
      </c>
    </row>
    <row r="6" spans="1:27" ht="18" x14ac:dyDescent="0.35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27" x14ac:dyDescent="0.25">
      <c r="B7" s="2" t="s">
        <v>14</v>
      </c>
      <c r="D7" s="8">
        <f>D18</f>
        <v>2300</v>
      </c>
      <c r="E7" s="8">
        <f>D7-E8-D58</f>
        <v>425</v>
      </c>
      <c r="F7" s="8">
        <f t="shared" ref="F7:L7" si="0">E7+E43-E58</f>
        <v>385</v>
      </c>
      <c r="G7" s="8">
        <f t="shared" si="0"/>
        <v>1804.1</v>
      </c>
      <c r="H7" s="8">
        <f t="shared" si="0"/>
        <v>3513.1</v>
      </c>
      <c r="I7" s="8">
        <f t="shared" si="0"/>
        <v>4972.1000000000004</v>
      </c>
      <c r="J7" s="8">
        <f t="shared" si="0"/>
        <v>5904.4000000000005</v>
      </c>
      <c r="K7" s="8">
        <f t="shared" si="0"/>
        <v>6511.9750000000004</v>
      </c>
      <c r="L7" s="8">
        <f t="shared" si="0"/>
        <v>6670.875</v>
      </c>
      <c r="M7" s="8">
        <f>L7+L43-L58-L18</f>
        <v>4476.6374999999998</v>
      </c>
    </row>
    <row r="8" spans="1:27" x14ac:dyDescent="0.25">
      <c r="B8" s="2" t="s">
        <v>15</v>
      </c>
      <c r="D8" s="8">
        <f>SUM(D9:D11)</f>
        <v>0</v>
      </c>
      <c r="E8" s="8">
        <f>SUM(E9:E11)</f>
        <v>1675</v>
      </c>
      <c r="F8" s="8">
        <f t="shared" ref="F8:M8" si="1">SUM(F9:F11)</f>
        <v>1412.5</v>
      </c>
      <c r="G8" s="8">
        <f t="shared" si="1"/>
        <v>937.5</v>
      </c>
      <c r="H8" s="8">
        <f t="shared" si="1"/>
        <v>562.5</v>
      </c>
      <c r="I8" s="8">
        <f t="shared" si="1"/>
        <v>297.5</v>
      </c>
      <c r="J8" s="8">
        <f t="shared" si="1"/>
        <v>90</v>
      </c>
      <c r="K8" s="8">
        <f t="shared" si="1"/>
        <v>35</v>
      </c>
      <c r="L8" s="8">
        <f t="shared" si="1"/>
        <v>0</v>
      </c>
      <c r="M8" s="8">
        <f t="shared" si="1"/>
        <v>0</v>
      </c>
    </row>
    <row r="9" spans="1:27" x14ac:dyDescent="0.25">
      <c r="B9" s="2" t="s">
        <v>115</v>
      </c>
      <c r="D9" s="8">
        <v>0</v>
      </c>
      <c r="E9" s="8">
        <f>'Inventory &amp; Sales'!R40</f>
        <v>525</v>
      </c>
      <c r="F9" s="8">
        <f>'Inventory &amp; Sales'!R41</f>
        <v>360.5</v>
      </c>
      <c r="G9" s="8">
        <f>'Inventory &amp; Sales'!R42</f>
        <v>276.5</v>
      </c>
      <c r="H9" s="8">
        <f>'Inventory &amp; Sales'!R43</f>
        <v>182</v>
      </c>
      <c r="I9" s="8">
        <f>'Inventory &amp; Sales'!R44</f>
        <v>112</v>
      </c>
      <c r="J9" s="8">
        <f>'Inventory &amp; Sales'!R45</f>
        <v>45.5</v>
      </c>
      <c r="K9" s="8">
        <f>'Inventory &amp; Sales'!R46</f>
        <v>24.5</v>
      </c>
      <c r="L9" s="8">
        <f>'Inventory &amp; Sales'!R47</f>
        <v>0</v>
      </c>
      <c r="M9" s="8">
        <f>'Inventory &amp; Sales'!R48</f>
        <v>0</v>
      </c>
    </row>
    <row r="10" spans="1:27" x14ac:dyDescent="0.25">
      <c r="B10" s="2" t="s">
        <v>116</v>
      </c>
      <c r="D10" s="8">
        <v>0</v>
      </c>
      <c r="E10" s="8">
        <f>'Inventory &amp; Sales'!S40</f>
        <v>350</v>
      </c>
      <c r="F10" s="8">
        <f>'Inventory &amp; Sales'!S41</f>
        <v>252</v>
      </c>
      <c r="G10" s="8">
        <f>'Inventory &amp; Sales'!S42</f>
        <v>161</v>
      </c>
      <c r="H10" s="8">
        <f>'Inventory &amp; Sales'!S43</f>
        <v>80.5</v>
      </c>
      <c r="I10" s="8">
        <f>'Inventory &amp; Sales'!S44</f>
        <v>45.5</v>
      </c>
      <c r="J10" s="8">
        <f>'Inventory &amp; Sales'!S45</f>
        <v>24.5</v>
      </c>
      <c r="K10" s="8">
        <f>'Inventory &amp; Sales'!S46</f>
        <v>10.5</v>
      </c>
      <c r="L10" s="8">
        <f>'Inventory &amp; Sales'!S47</f>
        <v>0</v>
      </c>
      <c r="M10" s="8">
        <f>'Inventory &amp; Sales'!S48</f>
        <v>0</v>
      </c>
    </row>
    <row r="11" spans="1:27" x14ac:dyDescent="0.25">
      <c r="B11" s="2" t="s">
        <v>62</v>
      </c>
      <c r="D11" s="8">
        <v>0</v>
      </c>
      <c r="E11" s="8">
        <f>'Inventory &amp; Sales'!T40</f>
        <v>800</v>
      </c>
      <c r="F11" s="8">
        <f>'Inventory &amp; Sales'!T41</f>
        <v>800</v>
      </c>
      <c r="G11" s="8">
        <f>'Inventory &amp; Sales'!T42</f>
        <v>500</v>
      </c>
      <c r="H11" s="8">
        <f>'Inventory &amp; Sales'!T43</f>
        <v>300</v>
      </c>
      <c r="I11" s="8">
        <f>'Inventory &amp; Sales'!T44</f>
        <v>140</v>
      </c>
      <c r="J11" s="8">
        <f>'Inventory &amp; Sales'!T45</f>
        <v>20</v>
      </c>
      <c r="K11" s="8">
        <f>'Inventory &amp; Sales'!T46</f>
        <v>0</v>
      </c>
      <c r="L11" s="8">
        <f>'Inventory &amp; Sales'!T47</f>
        <v>0</v>
      </c>
      <c r="M11" s="8">
        <f>'Inventory &amp; Sales'!T48</f>
        <v>0</v>
      </c>
    </row>
    <row r="12" spans="1:27" x14ac:dyDescent="0.25">
      <c r="B12" s="2" t="s">
        <v>16</v>
      </c>
      <c r="D12" s="8">
        <v>0</v>
      </c>
      <c r="E12" s="8">
        <v>10</v>
      </c>
      <c r="F12" s="8">
        <f>E12</f>
        <v>10</v>
      </c>
      <c r="G12" s="8">
        <f t="shared" ref="G12:L12" si="2">F12</f>
        <v>10</v>
      </c>
      <c r="H12" s="8">
        <f t="shared" si="2"/>
        <v>10</v>
      </c>
      <c r="I12" s="8">
        <f t="shared" si="2"/>
        <v>10</v>
      </c>
      <c r="J12" s="8">
        <f t="shared" si="2"/>
        <v>10</v>
      </c>
      <c r="K12" s="8">
        <f t="shared" si="2"/>
        <v>10</v>
      </c>
      <c r="L12" s="8">
        <f t="shared" si="2"/>
        <v>10</v>
      </c>
      <c r="M12" s="8">
        <v>0</v>
      </c>
    </row>
    <row r="13" spans="1:27" x14ac:dyDescent="0.25">
      <c r="D13" s="8"/>
      <c r="E13" s="8"/>
      <c r="F13" s="8"/>
      <c r="G13" s="8"/>
      <c r="H13" s="8"/>
      <c r="I13" s="8"/>
      <c r="J13" s="8"/>
      <c r="K13" s="8"/>
      <c r="L13" s="8"/>
      <c r="M13" s="8"/>
      <c r="P13" s="2" t="s">
        <v>131</v>
      </c>
    </row>
    <row r="14" spans="1:27" x14ac:dyDescent="0.25">
      <c r="A14" s="2" t="s">
        <v>17</v>
      </c>
      <c r="D14" s="8">
        <f t="shared" ref="D14:M14" si="3">SUM(D7:D8,D12:D13)</f>
        <v>2300</v>
      </c>
      <c r="E14" s="8">
        <f t="shared" si="3"/>
        <v>2110</v>
      </c>
      <c r="F14" s="8">
        <f t="shared" si="3"/>
        <v>1807.5</v>
      </c>
      <c r="G14" s="8">
        <f t="shared" si="3"/>
        <v>2751.6</v>
      </c>
      <c r="H14" s="8">
        <f t="shared" si="3"/>
        <v>4085.6</v>
      </c>
      <c r="I14" s="8">
        <f t="shared" si="3"/>
        <v>5279.6</v>
      </c>
      <c r="J14" s="8">
        <f t="shared" si="3"/>
        <v>6004.4000000000005</v>
      </c>
      <c r="K14" s="8">
        <f t="shared" si="3"/>
        <v>6556.9750000000004</v>
      </c>
      <c r="L14" s="8">
        <f t="shared" si="3"/>
        <v>6680.875</v>
      </c>
      <c r="M14" s="8">
        <f t="shared" si="3"/>
        <v>4476.6374999999998</v>
      </c>
    </row>
    <row r="15" spans="1:27" x14ac:dyDescent="0.25"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7" ht="18" x14ac:dyDescent="0.35">
      <c r="A16" s="5" t="s">
        <v>18</v>
      </c>
      <c r="B16" s="6"/>
      <c r="C16" s="6"/>
      <c r="D16" s="9"/>
      <c r="E16" s="9"/>
      <c r="F16" s="9"/>
      <c r="G16" s="9"/>
      <c r="H16" s="9"/>
      <c r="I16" s="9"/>
      <c r="J16" s="9"/>
      <c r="K16" s="9"/>
      <c r="L16" s="9"/>
      <c r="M16" s="9"/>
      <c r="N16" s="7"/>
    </row>
    <row r="17" spans="1:27" x14ac:dyDescent="0.25">
      <c r="B17" s="2" t="s">
        <v>19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27" x14ac:dyDescent="0.25">
      <c r="B18" s="2" t="s">
        <v>20</v>
      </c>
      <c r="D18" s="8">
        <f>'Borrowing Base Certificate'!D18</f>
        <v>2300</v>
      </c>
      <c r="E18" s="8">
        <f>D18</f>
        <v>2300</v>
      </c>
      <c r="F18" s="8">
        <f t="shared" ref="F18:L18" si="4">E18</f>
        <v>2300</v>
      </c>
      <c r="G18" s="8">
        <f t="shared" si="4"/>
        <v>2300</v>
      </c>
      <c r="H18" s="8">
        <f t="shared" si="4"/>
        <v>2300</v>
      </c>
      <c r="I18" s="8">
        <f t="shared" si="4"/>
        <v>2300</v>
      </c>
      <c r="J18" s="8">
        <f t="shared" si="4"/>
        <v>2300</v>
      </c>
      <c r="K18" s="8">
        <f t="shared" si="4"/>
        <v>2300</v>
      </c>
      <c r="L18" s="8">
        <f t="shared" si="4"/>
        <v>2300</v>
      </c>
      <c r="M18" s="8">
        <v>0</v>
      </c>
    </row>
    <row r="19" spans="1:27" x14ac:dyDescent="0.25">
      <c r="B19" s="2" t="s">
        <v>21</v>
      </c>
      <c r="D19" s="8">
        <v>0</v>
      </c>
      <c r="E19" s="8">
        <f>D18*0.065*(1/52)</f>
        <v>2.875</v>
      </c>
      <c r="F19" s="8">
        <f>(E18*0.065*(1/52))+E19</f>
        <v>5.75</v>
      </c>
      <c r="G19" s="8">
        <f t="shared" ref="G19:L19" si="5">(F18*0.065*(1/52))+F19</f>
        <v>8.625</v>
      </c>
      <c r="H19" s="8">
        <f t="shared" si="5"/>
        <v>11.5</v>
      </c>
      <c r="I19" s="8">
        <f t="shared" si="5"/>
        <v>14.375</v>
      </c>
      <c r="J19" s="8">
        <f t="shared" si="5"/>
        <v>17.25</v>
      </c>
      <c r="K19" s="8">
        <f t="shared" si="5"/>
        <v>20.125</v>
      </c>
      <c r="L19" s="8">
        <f t="shared" si="5"/>
        <v>23</v>
      </c>
      <c r="M19" s="8">
        <v>0</v>
      </c>
    </row>
    <row r="20" spans="1:27" x14ac:dyDescent="0.25"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27" x14ac:dyDescent="0.25">
      <c r="A21" s="2" t="s">
        <v>22</v>
      </c>
      <c r="D21" s="8">
        <f t="shared" ref="D21:M21" si="6">SUM(D17:D20)</f>
        <v>2300</v>
      </c>
      <c r="E21" s="8">
        <f t="shared" si="6"/>
        <v>2302.875</v>
      </c>
      <c r="F21" s="8">
        <f t="shared" si="6"/>
        <v>2305.75</v>
      </c>
      <c r="G21" s="8">
        <f t="shared" si="6"/>
        <v>2308.625</v>
      </c>
      <c r="H21" s="8">
        <f t="shared" si="6"/>
        <v>2311.5</v>
      </c>
      <c r="I21" s="8">
        <f t="shared" si="6"/>
        <v>2314.375</v>
      </c>
      <c r="J21" s="8">
        <f t="shared" si="6"/>
        <v>2317.25</v>
      </c>
      <c r="K21" s="8">
        <f t="shared" si="6"/>
        <v>2320.125</v>
      </c>
      <c r="L21" s="8">
        <f t="shared" si="6"/>
        <v>2323</v>
      </c>
      <c r="M21" s="8">
        <f t="shared" si="6"/>
        <v>0</v>
      </c>
    </row>
    <row r="22" spans="1:27" x14ac:dyDescent="0.25"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27" ht="18" x14ac:dyDescent="0.35">
      <c r="A23" s="5" t="s">
        <v>49</v>
      </c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</row>
    <row r="24" spans="1:27" ht="13.95" customHeight="1" x14ac:dyDescent="0.25">
      <c r="B24" s="2" t="s">
        <v>47</v>
      </c>
      <c r="D24" s="8">
        <v>0</v>
      </c>
      <c r="E24" s="8">
        <f>IF(E14&gt;=E21,E14-E21,0)</f>
        <v>0</v>
      </c>
      <c r="F24" s="8">
        <f t="shared" ref="F24:M24" si="7">IF(F14&gt;F21,F14-F21,0)</f>
        <v>0</v>
      </c>
      <c r="G24" s="8">
        <f t="shared" si="7"/>
        <v>442.97499999999991</v>
      </c>
      <c r="H24" s="8">
        <f t="shared" si="7"/>
        <v>1774.1</v>
      </c>
      <c r="I24" s="8">
        <f t="shared" si="7"/>
        <v>2965.2250000000004</v>
      </c>
      <c r="J24" s="8">
        <f t="shared" si="7"/>
        <v>3687.1500000000005</v>
      </c>
      <c r="K24" s="8">
        <f t="shared" si="7"/>
        <v>4236.8500000000004</v>
      </c>
      <c r="L24" s="8">
        <f t="shared" si="7"/>
        <v>4357.875</v>
      </c>
      <c r="M24" s="8">
        <f t="shared" si="7"/>
        <v>4476.6374999999998</v>
      </c>
      <c r="N24" s="8"/>
    </row>
    <row r="25" spans="1:27" ht="13.95" customHeight="1" x14ac:dyDescent="0.2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27" ht="13.95" customHeight="1" x14ac:dyDescent="0.25">
      <c r="A26" s="2" t="s">
        <v>48</v>
      </c>
      <c r="D26" s="8">
        <f>SUM(D24)</f>
        <v>0</v>
      </c>
      <c r="E26" s="8">
        <f t="shared" ref="E26:M26" si="8">SUM(E24)</f>
        <v>0</v>
      </c>
      <c r="F26" s="8">
        <f t="shared" si="8"/>
        <v>0</v>
      </c>
      <c r="G26" s="8">
        <f t="shared" si="8"/>
        <v>442.97499999999991</v>
      </c>
      <c r="H26" s="8">
        <f t="shared" si="8"/>
        <v>1774.1</v>
      </c>
      <c r="I26" s="8">
        <f t="shared" si="8"/>
        <v>2965.2250000000004</v>
      </c>
      <c r="J26" s="8">
        <f t="shared" si="8"/>
        <v>3687.1500000000005</v>
      </c>
      <c r="K26" s="8">
        <f t="shared" si="8"/>
        <v>4236.8500000000004</v>
      </c>
      <c r="L26" s="8">
        <f t="shared" si="8"/>
        <v>4357.875</v>
      </c>
      <c r="M26" s="8">
        <f t="shared" si="8"/>
        <v>4476.6374999999998</v>
      </c>
      <c r="N26" s="8"/>
    </row>
    <row r="27" spans="1:27" ht="13.95" customHeight="1" x14ac:dyDescent="0.25"/>
    <row r="28" spans="1:27" ht="13.95" customHeight="1" x14ac:dyDescent="0.25">
      <c r="A28" s="2" t="s">
        <v>50</v>
      </c>
      <c r="D28" s="8">
        <f>SUM(D21,D26)</f>
        <v>2300</v>
      </c>
      <c r="E28" s="8">
        <f>SUM(E21,E26)</f>
        <v>2302.875</v>
      </c>
      <c r="F28" s="8">
        <f t="shared" ref="F28:M28" si="9">SUM(F21,F26)</f>
        <v>2305.75</v>
      </c>
      <c r="G28" s="8">
        <f t="shared" si="9"/>
        <v>2751.6</v>
      </c>
      <c r="H28" s="8">
        <f t="shared" si="9"/>
        <v>4085.6</v>
      </c>
      <c r="I28" s="8">
        <f t="shared" si="9"/>
        <v>5279.6</v>
      </c>
      <c r="J28" s="8">
        <f t="shared" si="9"/>
        <v>6004.4000000000005</v>
      </c>
      <c r="K28" s="8">
        <f t="shared" si="9"/>
        <v>6556.9750000000004</v>
      </c>
      <c r="L28" s="8">
        <f t="shared" si="9"/>
        <v>6680.875</v>
      </c>
      <c r="M28" s="8">
        <f t="shared" si="9"/>
        <v>4476.6374999999998</v>
      </c>
    </row>
    <row r="29" spans="1:27" ht="13.95" customHeight="1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27" ht="13.95" customHeight="1" x14ac:dyDescent="0.25"/>
    <row r="31" spans="1:27" ht="20.399999999999999" customHeight="1" x14ac:dyDescent="0.35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x14ac:dyDescent="0.25">
      <c r="D32" s="4" t="s">
        <v>128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4"/>
    </row>
    <row r="33" spans="1:19" ht="18" x14ac:dyDescent="0.35">
      <c r="A33" s="5" t="s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 t="s">
        <v>25</v>
      </c>
      <c r="P33" s="83" t="s">
        <v>107</v>
      </c>
      <c r="Q33" s="83"/>
      <c r="R33" s="83"/>
      <c r="S33" s="83"/>
    </row>
    <row r="34" spans="1:19" x14ac:dyDescent="0.25">
      <c r="B34" s="2" t="s">
        <v>26</v>
      </c>
      <c r="D34" s="8"/>
      <c r="E34" s="8">
        <f t="shared" ref="E34:L34" si="10">SUM(E35:E37)</f>
        <v>0</v>
      </c>
      <c r="F34" s="8">
        <f t="shared" si="10"/>
        <v>1500</v>
      </c>
      <c r="G34" s="8">
        <f t="shared" si="10"/>
        <v>1750</v>
      </c>
      <c r="H34" s="8">
        <f t="shared" si="10"/>
        <v>1500</v>
      </c>
      <c r="I34" s="8">
        <f t="shared" si="10"/>
        <v>1000</v>
      </c>
      <c r="J34" s="8">
        <f t="shared" si="10"/>
        <v>645</v>
      </c>
      <c r="K34" s="8">
        <f t="shared" si="10"/>
        <v>190</v>
      </c>
      <c r="L34" s="8">
        <f t="shared" si="10"/>
        <v>150</v>
      </c>
      <c r="M34" s="8"/>
      <c r="N34" s="8">
        <f>SUM(E34:L34)</f>
        <v>6735</v>
      </c>
      <c r="P34" s="58" t="s">
        <v>55</v>
      </c>
      <c r="Q34" s="84" t="s">
        <v>108</v>
      </c>
      <c r="R34" s="84"/>
      <c r="S34" s="84"/>
    </row>
    <row r="35" spans="1:19" x14ac:dyDescent="0.25">
      <c r="B35" s="2" t="s">
        <v>27</v>
      </c>
      <c r="D35" s="8"/>
      <c r="E35" s="8">
        <f>'Inventory &amp; Sales'!R26</f>
        <v>0</v>
      </c>
      <c r="F35" s="8">
        <f>'Inventory &amp; Sales'!R27</f>
        <v>380</v>
      </c>
      <c r="G35" s="8">
        <f>'Inventory &amp; Sales'!R28</f>
        <v>400</v>
      </c>
      <c r="H35" s="8">
        <f>'Inventory &amp; Sales'!R29</f>
        <v>400</v>
      </c>
      <c r="I35" s="8">
        <f>'Inventory &amp; Sales'!R30</f>
        <v>280</v>
      </c>
      <c r="J35" s="8">
        <f>'Inventory &amp; Sales'!R31</f>
        <v>225</v>
      </c>
      <c r="K35" s="8">
        <f>'Inventory &amp; Sales'!R32</f>
        <v>75</v>
      </c>
      <c r="L35" s="8">
        <f>'Inventory &amp; Sales'!R33</f>
        <v>75</v>
      </c>
      <c r="M35" s="8"/>
      <c r="N35" s="8">
        <f t="shared" ref="N35:N41" si="11">SUM(E35:L35)</f>
        <v>1835</v>
      </c>
      <c r="P35" s="59">
        <v>1</v>
      </c>
      <c r="Q35" s="85"/>
      <c r="R35" s="86"/>
      <c r="S35" s="87"/>
    </row>
    <row r="36" spans="1:19" x14ac:dyDescent="0.25">
      <c r="B36" s="2" t="s">
        <v>28</v>
      </c>
      <c r="D36" s="8"/>
      <c r="E36" s="8">
        <f>'Inventory &amp; Sales'!S26</f>
        <v>0</v>
      </c>
      <c r="F36" s="8">
        <f>'Inventory &amp; Sales'!S27</f>
        <v>360</v>
      </c>
      <c r="G36" s="8">
        <f>'Inventory &amp; Sales'!S28</f>
        <v>950</v>
      </c>
      <c r="H36" s="8">
        <f>'Inventory &amp; Sales'!S29</f>
        <v>700</v>
      </c>
      <c r="I36" s="8">
        <f>'Inventory &amp; Sales'!S30</f>
        <v>440</v>
      </c>
      <c r="J36" s="8">
        <f>'Inventory &amp; Sales'!S31</f>
        <v>150</v>
      </c>
      <c r="K36" s="8">
        <f>'Inventory &amp; Sales'!S32</f>
        <v>75</v>
      </c>
      <c r="L36" s="8">
        <f>'Inventory &amp; Sales'!S33</f>
        <v>30</v>
      </c>
      <c r="M36" s="8"/>
      <c r="N36" s="8">
        <f t="shared" si="11"/>
        <v>2705</v>
      </c>
      <c r="P36" s="60">
        <v>2</v>
      </c>
      <c r="Q36" s="77"/>
      <c r="R36" s="78"/>
      <c r="S36" s="79"/>
    </row>
    <row r="37" spans="1:19" x14ac:dyDescent="0.25">
      <c r="B37" s="2" t="s">
        <v>29</v>
      </c>
      <c r="D37" s="8"/>
      <c r="E37" s="8">
        <f>'Inventory &amp; Sales'!T26</f>
        <v>0</v>
      </c>
      <c r="F37" s="8">
        <f>'Inventory &amp; Sales'!T27</f>
        <v>760</v>
      </c>
      <c r="G37" s="8">
        <f>'Inventory &amp; Sales'!T28</f>
        <v>400</v>
      </c>
      <c r="H37" s="8">
        <f>'Inventory &amp; Sales'!T29</f>
        <v>400</v>
      </c>
      <c r="I37" s="8">
        <f>'Inventory &amp; Sales'!T30</f>
        <v>280</v>
      </c>
      <c r="J37" s="8">
        <f>'Inventory &amp; Sales'!T31</f>
        <v>270</v>
      </c>
      <c r="K37" s="8">
        <f>'Inventory &amp; Sales'!T32</f>
        <v>40</v>
      </c>
      <c r="L37" s="8">
        <f>'Inventory &amp; Sales'!T33</f>
        <v>45</v>
      </c>
      <c r="M37" s="8"/>
      <c r="N37" s="8">
        <f t="shared" si="11"/>
        <v>2195</v>
      </c>
      <c r="P37" s="60">
        <v>3</v>
      </c>
      <c r="Q37" s="77"/>
      <c r="R37" s="78"/>
      <c r="S37" s="79"/>
    </row>
    <row r="38" spans="1:19" x14ac:dyDescent="0.25">
      <c r="B38" s="2" t="s">
        <v>30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11"/>
        <v>0</v>
      </c>
      <c r="P38" s="60">
        <v>4</v>
      </c>
      <c r="Q38" s="77"/>
      <c r="R38" s="78"/>
      <c r="S38" s="79"/>
    </row>
    <row r="39" spans="1:19" x14ac:dyDescent="0.25">
      <c r="B39" s="2" t="s">
        <v>31</v>
      </c>
      <c r="D39" s="8"/>
      <c r="E39" s="8">
        <f>E37*0.027</f>
        <v>0</v>
      </c>
      <c r="F39" s="8">
        <f>F37*0.0275</f>
        <v>20.9</v>
      </c>
      <c r="G39" s="8">
        <f t="shared" ref="G39:L39" si="12">G37*0.0275</f>
        <v>11</v>
      </c>
      <c r="H39" s="8">
        <f t="shared" si="12"/>
        <v>11</v>
      </c>
      <c r="I39" s="8">
        <f t="shared" si="12"/>
        <v>7.7</v>
      </c>
      <c r="J39" s="8">
        <f t="shared" si="12"/>
        <v>7.4249999999999998</v>
      </c>
      <c r="K39" s="8">
        <f t="shared" si="12"/>
        <v>1.1000000000000001</v>
      </c>
      <c r="L39" s="8">
        <f t="shared" si="12"/>
        <v>1.2375</v>
      </c>
      <c r="M39" s="8"/>
      <c r="N39" s="8">
        <f t="shared" si="11"/>
        <v>60.362499999999997</v>
      </c>
      <c r="P39" s="60">
        <v>5</v>
      </c>
      <c r="Q39" s="77"/>
      <c r="R39" s="78"/>
      <c r="S39" s="79"/>
    </row>
    <row r="40" spans="1:19" x14ac:dyDescent="0.25">
      <c r="B40" s="2" t="s">
        <v>32</v>
      </c>
      <c r="D40" s="8"/>
      <c r="E40" s="8">
        <f>E34-E38-E39</f>
        <v>0</v>
      </c>
      <c r="F40" s="8">
        <f>F34-F38-F39</f>
        <v>1479.1</v>
      </c>
      <c r="G40" s="8">
        <f t="shared" ref="G40:L40" si="13">G34-G38-G39</f>
        <v>1739</v>
      </c>
      <c r="H40" s="8">
        <f t="shared" si="13"/>
        <v>1489</v>
      </c>
      <c r="I40" s="8">
        <f t="shared" si="13"/>
        <v>992.3</v>
      </c>
      <c r="J40" s="8">
        <f t="shared" si="13"/>
        <v>637.57500000000005</v>
      </c>
      <c r="K40" s="8">
        <f t="shared" si="13"/>
        <v>188.9</v>
      </c>
      <c r="L40" s="8">
        <f t="shared" si="13"/>
        <v>148.76249999999999</v>
      </c>
      <c r="M40" s="8"/>
      <c r="N40" s="8">
        <f t="shared" si="11"/>
        <v>6674.6374999999998</v>
      </c>
      <c r="P40" s="60">
        <v>6</v>
      </c>
      <c r="Q40" s="77"/>
      <c r="R40" s="78"/>
      <c r="S40" s="79"/>
    </row>
    <row r="41" spans="1:19" x14ac:dyDescent="0.25">
      <c r="B41" s="2" t="s">
        <v>85</v>
      </c>
      <c r="D41" s="8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10</v>
      </c>
      <c r="M41" s="8"/>
      <c r="N41" s="8">
        <f t="shared" si="11"/>
        <v>10</v>
      </c>
      <c r="P41" s="60">
        <v>7</v>
      </c>
      <c r="Q41" s="77"/>
      <c r="R41" s="78"/>
      <c r="S41" s="79"/>
    </row>
    <row r="42" spans="1:19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61">
        <v>8</v>
      </c>
      <c r="Q42" s="80" t="s">
        <v>109</v>
      </c>
      <c r="R42" s="81"/>
      <c r="S42" s="82"/>
    </row>
    <row r="43" spans="1:19" x14ac:dyDescent="0.25">
      <c r="B43" s="2" t="s">
        <v>86</v>
      </c>
      <c r="D43" s="8"/>
      <c r="E43" s="8">
        <f>SUM(E40:E41)</f>
        <v>0</v>
      </c>
      <c r="F43" s="8">
        <f>SUM(F40:F41)</f>
        <v>1479.1</v>
      </c>
      <c r="G43" s="8">
        <f t="shared" ref="G43:K43" si="14">SUM(G40:G41)</f>
        <v>1739</v>
      </c>
      <c r="H43" s="8">
        <f t="shared" si="14"/>
        <v>1489</v>
      </c>
      <c r="I43" s="8">
        <f t="shared" si="14"/>
        <v>992.3</v>
      </c>
      <c r="J43" s="8">
        <f t="shared" si="14"/>
        <v>637.57500000000005</v>
      </c>
      <c r="K43" s="8">
        <f t="shared" si="14"/>
        <v>188.9</v>
      </c>
      <c r="L43" s="8">
        <f>SUM(L40:L41)</f>
        <v>158.76249999999999</v>
      </c>
      <c r="M43" s="8"/>
      <c r="N43" s="8">
        <f>SUM(E43:L43)</f>
        <v>6684.6374999999998</v>
      </c>
    </row>
    <row r="44" spans="1:19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9" ht="18" x14ac:dyDescent="0.35">
      <c r="A45" s="5" t="s">
        <v>34</v>
      </c>
      <c r="B45" s="7"/>
      <c r="C45" s="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 t="s">
        <v>25</v>
      </c>
    </row>
    <row r="46" spans="1:19" x14ac:dyDescent="0.25">
      <c r="B46" s="2" t="s">
        <v>115</v>
      </c>
      <c r="D46" s="8"/>
      <c r="E46" s="8">
        <f>'Inventory &amp; Sales'!R14</f>
        <v>0</v>
      </c>
      <c r="F46" s="8">
        <f>'Inventory &amp; Sales'!R15</f>
        <v>164.5</v>
      </c>
      <c r="G46" s="8">
        <f>'Inventory &amp; Sales'!R16</f>
        <v>84</v>
      </c>
      <c r="H46" s="8">
        <f>'Inventory &amp; Sales'!R17</f>
        <v>94.5</v>
      </c>
      <c r="I46" s="8">
        <f>'Inventory &amp; Sales'!R18</f>
        <v>70</v>
      </c>
      <c r="J46" s="8">
        <f>'Inventory &amp; Sales'!R19</f>
        <v>66.5</v>
      </c>
      <c r="K46" s="8">
        <f>'Inventory &amp; Sales'!R20</f>
        <v>21</v>
      </c>
      <c r="L46" s="8">
        <f>'Inventory &amp; Sales'!R21</f>
        <v>24.5</v>
      </c>
      <c r="M46" s="8"/>
      <c r="N46" s="8">
        <f t="shared" ref="N46:N56" si="15">SUM(E46:L46)</f>
        <v>525</v>
      </c>
    </row>
    <row r="47" spans="1:19" x14ac:dyDescent="0.25">
      <c r="B47" s="2" t="s">
        <v>116</v>
      </c>
      <c r="D47" s="8"/>
      <c r="E47" s="8">
        <f>'Inventory &amp; Sales'!S14</f>
        <v>0</v>
      </c>
      <c r="F47" s="8">
        <f>'Inventory &amp; Sales'!S15</f>
        <v>98</v>
      </c>
      <c r="G47" s="8">
        <f>'Inventory &amp; Sales'!S16</f>
        <v>91</v>
      </c>
      <c r="H47" s="8">
        <f>'Inventory &amp; Sales'!S17</f>
        <v>80.5</v>
      </c>
      <c r="I47" s="8">
        <f>'Inventory &amp; Sales'!S18</f>
        <v>35</v>
      </c>
      <c r="J47" s="8">
        <f>'Inventory &amp; Sales'!S19</f>
        <v>21</v>
      </c>
      <c r="K47" s="8">
        <f>'Inventory &amp; Sales'!S20</f>
        <v>14</v>
      </c>
      <c r="L47" s="8">
        <f>'Inventory &amp; Sales'!S21</f>
        <v>10.5</v>
      </c>
      <c r="M47" s="8"/>
      <c r="N47" s="8">
        <f t="shared" si="15"/>
        <v>350</v>
      </c>
    </row>
    <row r="48" spans="1:19" x14ac:dyDescent="0.25">
      <c r="B48" s="2" t="s">
        <v>62</v>
      </c>
      <c r="D48" s="8"/>
      <c r="E48" s="8">
        <f>'Inventory &amp; Sales'!T14</f>
        <v>0</v>
      </c>
      <c r="F48" s="8">
        <f>'Inventory &amp; Sales'!T15</f>
        <v>0</v>
      </c>
      <c r="G48" s="8">
        <f>'Inventory &amp; Sales'!T16</f>
        <v>300</v>
      </c>
      <c r="H48" s="8">
        <f>'Inventory &amp; Sales'!T17</f>
        <v>200</v>
      </c>
      <c r="I48" s="8">
        <f>'Inventory &amp; Sales'!T18</f>
        <v>160</v>
      </c>
      <c r="J48" s="8">
        <f>'Inventory &amp; Sales'!T19</f>
        <v>120</v>
      </c>
      <c r="K48" s="8">
        <f>'Inventory &amp; Sales'!T20</f>
        <v>20</v>
      </c>
      <c r="L48" s="8">
        <f>'Inventory &amp; Sales'!T21</f>
        <v>0</v>
      </c>
      <c r="M48" s="8"/>
      <c r="N48" s="8">
        <f t="shared" si="15"/>
        <v>800</v>
      </c>
    </row>
    <row r="49" spans="1:18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8" x14ac:dyDescent="0.25">
      <c r="B50" s="2" t="s">
        <v>126</v>
      </c>
      <c r="D50" s="8"/>
      <c r="E50" s="8">
        <f t="shared" ref="E50" si="16">SUM(E46:E48)</f>
        <v>0</v>
      </c>
      <c r="F50" s="8">
        <f t="shared" ref="F50:L50" si="17">SUM(F46:F48)</f>
        <v>262.5</v>
      </c>
      <c r="G50" s="8">
        <f t="shared" si="17"/>
        <v>475</v>
      </c>
      <c r="H50" s="8">
        <f t="shared" si="17"/>
        <v>375</v>
      </c>
      <c r="I50" s="8">
        <f t="shared" si="17"/>
        <v>265</v>
      </c>
      <c r="J50" s="8">
        <f t="shared" si="17"/>
        <v>207.5</v>
      </c>
      <c r="K50" s="8">
        <f t="shared" si="17"/>
        <v>55</v>
      </c>
      <c r="L50" s="8">
        <f t="shared" si="17"/>
        <v>35</v>
      </c>
      <c r="M50" s="8"/>
      <c r="N50" s="8">
        <f>SUM(E50:L50)</f>
        <v>1675</v>
      </c>
    </row>
    <row r="51" spans="1:18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8" ht="18" x14ac:dyDescent="0.35">
      <c r="A52" s="5" t="s">
        <v>33</v>
      </c>
      <c r="B52" s="7"/>
      <c r="C52" s="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8" x14ac:dyDescent="0.25">
      <c r="B53" s="2" t="s">
        <v>35</v>
      </c>
      <c r="D53" s="8"/>
      <c r="E53" s="8">
        <v>30</v>
      </c>
      <c r="F53" s="8">
        <v>60</v>
      </c>
      <c r="G53" s="8">
        <v>30</v>
      </c>
      <c r="H53" s="8">
        <v>30</v>
      </c>
      <c r="I53" s="8">
        <v>60</v>
      </c>
      <c r="J53" s="8">
        <v>30</v>
      </c>
      <c r="K53" s="8">
        <v>30</v>
      </c>
      <c r="L53" s="8">
        <v>30</v>
      </c>
      <c r="M53" s="8"/>
      <c r="N53" s="8">
        <f t="shared" si="15"/>
        <v>300</v>
      </c>
    </row>
    <row r="54" spans="1:18" x14ac:dyDescent="0.25">
      <c r="B54" s="2" t="s">
        <v>36</v>
      </c>
      <c r="D54" s="8"/>
      <c r="E54" s="8">
        <v>10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/>
      <c r="N54" s="8">
        <f t="shared" si="15"/>
        <v>10</v>
      </c>
    </row>
    <row r="55" spans="1:18" x14ac:dyDescent="0.25">
      <c r="B55" s="2" t="s">
        <v>129</v>
      </c>
      <c r="D55" s="8">
        <v>200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8">
        <f>SUM(D55:L55)</f>
        <v>200</v>
      </c>
    </row>
    <row r="56" spans="1:18" x14ac:dyDescent="0.25">
      <c r="B56" s="2" t="s">
        <v>37</v>
      </c>
      <c r="D56" s="8"/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f>L19</f>
        <v>23</v>
      </c>
      <c r="M56" s="8"/>
      <c r="N56" s="8">
        <f t="shared" si="15"/>
        <v>23</v>
      </c>
    </row>
    <row r="57" spans="1:18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8" x14ac:dyDescent="0.25">
      <c r="B58" s="2" t="s">
        <v>38</v>
      </c>
      <c r="D58" s="8">
        <f>SUM(D53:D56)</f>
        <v>200</v>
      </c>
      <c r="E58" s="8">
        <f>SUM(E53:E56)</f>
        <v>40</v>
      </c>
      <c r="F58" s="8">
        <f t="shared" ref="F58:L58" si="18">SUM(F53:F56)</f>
        <v>60</v>
      </c>
      <c r="G58" s="8">
        <f t="shared" si="18"/>
        <v>30</v>
      </c>
      <c r="H58" s="8">
        <f t="shared" si="18"/>
        <v>30</v>
      </c>
      <c r="I58" s="8">
        <f t="shared" si="18"/>
        <v>60</v>
      </c>
      <c r="J58" s="8">
        <f t="shared" si="18"/>
        <v>30</v>
      </c>
      <c r="K58" s="8">
        <f t="shared" si="18"/>
        <v>30</v>
      </c>
      <c r="L58" s="8">
        <f t="shared" si="18"/>
        <v>53</v>
      </c>
      <c r="M58" s="8"/>
      <c r="N58" s="8">
        <f>SUM(D58:L58)</f>
        <v>533</v>
      </c>
    </row>
    <row r="59" spans="1:18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R59" s="8"/>
    </row>
    <row r="60" spans="1:18" x14ac:dyDescent="0.25">
      <c r="A60" s="2" t="s">
        <v>39</v>
      </c>
      <c r="D60" s="8">
        <f t="shared" ref="D60:L60" si="19">D43-D50-D58</f>
        <v>-200</v>
      </c>
      <c r="E60" s="8">
        <f t="shared" si="19"/>
        <v>-40</v>
      </c>
      <c r="F60" s="8">
        <f t="shared" si="19"/>
        <v>1156.5999999999999</v>
      </c>
      <c r="G60" s="8">
        <f t="shared" si="19"/>
        <v>1234</v>
      </c>
      <c r="H60" s="8">
        <f t="shared" si="19"/>
        <v>1084</v>
      </c>
      <c r="I60" s="8">
        <f t="shared" si="19"/>
        <v>667.3</v>
      </c>
      <c r="J60" s="8">
        <f t="shared" si="19"/>
        <v>400.07500000000005</v>
      </c>
      <c r="K60" s="8">
        <f t="shared" si="19"/>
        <v>103.9</v>
      </c>
      <c r="L60" s="8">
        <f t="shared" si="19"/>
        <v>70.762499999999989</v>
      </c>
      <c r="M60" s="8"/>
      <c r="N60" s="8">
        <f>SUM(D60:L60)</f>
        <v>4476.6374999999989</v>
      </c>
    </row>
    <row r="63" spans="1:18" ht="20.399999999999999" customHeight="1" x14ac:dyDescent="0.35">
      <c r="A63" s="90" t="s">
        <v>40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18" x14ac:dyDescent="0.25">
      <c r="D64" s="4"/>
      <c r="E64" s="2" t="s">
        <v>4</v>
      </c>
      <c r="F64" s="2" t="s">
        <v>5</v>
      </c>
      <c r="G64" s="2" t="s">
        <v>6</v>
      </c>
      <c r="H64" s="2" t="s">
        <v>7</v>
      </c>
      <c r="I64" s="2" t="s">
        <v>8</v>
      </c>
      <c r="J64" s="2" t="s">
        <v>9</v>
      </c>
      <c r="K64" s="2" t="s">
        <v>10</v>
      </c>
      <c r="L64" s="2" t="s">
        <v>11</v>
      </c>
      <c r="M64" s="4"/>
    </row>
    <row r="65" spans="2:13" x14ac:dyDescent="0.25">
      <c r="B65" s="2" t="s">
        <v>41</v>
      </c>
      <c r="D65" s="13"/>
      <c r="E65" s="13">
        <f>IFERROR(D14/D21,0)</f>
        <v>1</v>
      </c>
      <c r="F65" s="64">
        <f>IFERROR(E14/E21,0)</f>
        <v>0.91624599685176134</v>
      </c>
      <c r="G65" s="64">
        <f t="shared" ref="G65:L65" si="20">IFERROR(F14/F21,0)</f>
        <v>0.7839097907405399</v>
      </c>
      <c r="H65" s="64">
        <f t="shared" si="20"/>
        <v>1.1918782825274785</v>
      </c>
      <c r="I65" s="64">
        <f t="shared" si="20"/>
        <v>1.7675102747133895</v>
      </c>
      <c r="J65" s="64">
        <f t="shared" si="20"/>
        <v>2.281220631920065</v>
      </c>
      <c r="K65" s="64">
        <f t="shared" si="20"/>
        <v>2.591174884022009</v>
      </c>
      <c r="L65" s="64">
        <f t="shared" si="20"/>
        <v>2.8261300576477564</v>
      </c>
      <c r="M65" s="13"/>
    </row>
    <row r="66" spans="2:13" x14ac:dyDescent="0.25">
      <c r="B66" s="2" t="s">
        <v>42</v>
      </c>
      <c r="D66" s="13"/>
      <c r="E66" s="64">
        <f t="shared" ref="E66:L66" si="21">IFERROR(E7/E21,0)</f>
        <v>0.18455191879715574</v>
      </c>
      <c r="F66" s="64">
        <f t="shared" si="21"/>
        <v>0.16697386967364197</v>
      </c>
      <c r="G66" s="64">
        <f t="shared" si="21"/>
        <v>0.78146082624939084</v>
      </c>
      <c r="H66" s="64">
        <f t="shared" si="21"/>
        <v>1.5198356045857668</v>
      </c>
      <c r="I66" s="64">
        <f t="shared" si="21"/>
        <v>2.1483553875236296</v>
      </c>
      <c r="J66" s="64">
        <f t="shared" si="21"/>
        <v>2.5480202826626392</v>
      </c>
      <c r="K66" s="64">
        <f t="shared" si="21"/>
        <v>2.8067345509401433</v>
      </c>
      <c r="L66" s="64">
        <f t="shared" si="21"/>
        <v>2.871663796814464</v>
      </c>
      <c r="M66" s="13"/>
    </row>
    <row r="67" spans="2:13" x14ac:dyDescent="0.25">
      <c r="B67" s="2" t="s">
        <v>43</v>
      </c>
      <c r="D67" s="13"/>
      <c r="E67" s="13">
        <f t="shared" ref="E67:L67" si="22">IFERROR(D18/D14,0)</f>
        <v>1</v>
      </c>
      <c r="F67" s="64">
        <f t="shared" si="22"/>
        <v>1.0900473933649288</v>
      </c>
      <c r="G67" s="64">
        <f t="shared" si="22"/>
        <v>1.272475795297372</v>
      </c>
      <c r="H67" s="64">
        <f t="shared" si="22"/>
        <v>0.83587730774821922</v>
      </c>
      <c r="I67" s="64">
        <f t="shared" si="22"/>
        <v>0.56295280986880758</v>
      </c>
      <c r="J67" s="64">
        <f t="shared" si="22"/>
        <v>0.43563906356542159</v>
      </c>
      <c r="K67" s="64">
        <f t="shared" si="22"/>
        <v>0.3830524282193058</v>
      </c>
      <c r="L67" s="64">
        <f t="shared" si="22"/>
        <v>0.35077150667800316</v>
      </c>
      <c r="M67" s="13"/>
    </row>
    <row r="68" spans="2:13" x14ac:dyDescent="0.25">
      <c r="B68" s="2" t="s">
        <v>44</v>
      </c>
      <c r="D68" s="13"/>
      <c r="E68" s="13">
        <f t="shared" ref="E68:L68" si="23">IFERROR(E50/E8,0)</f>
        <v>0</v>
      </c>
      <c r="F68" s="64">
        <f t="shared" si="23"/>
        <v>0.18584070796460178</v>
      </c>
      <c r="G68" s="64">
        <f t="shared" si="23"/>
        <v>0.50666666666666671</v>
      </c>
      <c r="H68" s="64">
        <f t="shared" si="23"/>
        <v>0.66666666666666663</v>
      </c>
      <c r="I68" s="13">
        <f t="shared" si="23"/>
        <v>0.89075630252100846</v>
      </c>
      <c r="J68" s="13">
        <f t="shared" si="23"/>
        <v>2.3055555555555554</v>
      </c>
      <c r="K68" s="13">
        <f t="shared" si="23"/>
        <v>1.5714285714285714</v>
      </c>
      <c r="L68" s="13">
        <f t="shared" si="23"/>
        <v>0</v>
      </c>
      <c r="M68" s="13"/>
    </row>
    <row r="69" spans="2:13" x14ac:dyDescent="0.25">
      <c r="B69" s="2" t="s">
        <v>45</v>
      </c>
      <c r="D69" s="13"/>
      <c r="E69" s="62">
        <f t="shared" ref="E69:L69" si="24">IFERROR(E60/E34,0)</f>
        <v>0</v>
      </c>
      <c r="F69" s="62">
        <f t="shared" si="24"/>
        <v>0.77106666666666657</v>
      </c>
      <c r="G69" s="62">
        <f t="shared" si="24"/>
        <v>0.70514285714285718</v>
      </c>
      <c r="H69" s="62">
        <f t="shared" si="24"/>
        <v>0.72266666666666668</v>
      </c>
      <c r="I69" s="62">
        <f t="shared" si="24"/>
        <v>0.6673</v>
      </c>
      <c r="J69" s="62">
        <f t="shared" si="24"/>
        <v>0.62027131782945744</v>
      </c>
      <c r="K69" s="62">
        <f t="shared" si="24"/>
        <v>0.54684210526315791</v>
      </c>
      <c r="L69" s="62">
        <f t="shared" si="24"/>
        <v>0.47174999999999995</v>
      </c>
      <c r="M69" s="13"/>
    </row>
    <row r="72" spans="2:13" x14ac:dyDescent="0.25">
      <c r="B72" s="69" t="s">
        <v>46</v>
      </c>
      <c r="C72" s="69"/>
      <c r="D72" s="69"/>
      <c r="E72" s="70">
        <f>IFERROR(N60/(D18+L56),0)</f>
        <v>1.9270931984502793</v>
      </c>
      <c r="F72" s="69"/>
    </row>
  </sheetData>
  <mergeCells count="16">
    <mergeCell ref="A1:N1"/>
    <mergeCell ref="A2:N2"/>
    <mergeCell ref="A4:N4"/>
    <mergeCell ref="A31:N31"/>
    <mergeCell ref="A63:N63"/>
    <mergeCell ref="Q5:S5"/>
    <mergeCell ref="Q36:S36"/>
    <mergeCell ref="Q42:S42"/>
    <mergeCell ref="Q41:S41"/>
    <mergeCell ref="Q40:S40"/>
    <mergeCell ref="Q39:S39"/>
    <mergeCell ref="Q38:S38"/>
    <mergeCell ref="Q37:S37"/>
    <mergeCell ref="P33:S33"/>
    <mergeCell ref="Q34:S34"/>
    <mergeCell ref="Q35:S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78F0-174D-4B1F-B01C-89461DDC91BE}">
  <dimension ref="A1:T150"/>
  <sheetViews>
    <sheetView tabSelected="1" zoomScale="90" zoomScaleNormal="90" workbookViewId="0">
      <selection activeCell="M9" sqref="M9"/>
    </sheetView>
  </sheetViews>
  <sheetFormatPr defaultRowHeight="14.4" x14ac:dyDescent="0.3"/>
  <cols>
    <col min="2" max="2" width="9.44140625" bestFit="1" customWidth="1"/>
    <col min="10" max="12" width="10.109375" customWidth="1"/>
    <col min="13" max="13" width="12" customWidth="1"/>
    <col min="14" max="14" width="11.6640625" customWidth="1"/>
    <col min="17" max="17" width="13.6640625" customWidth="1"/>
    <col min="18" max="20" width="11.109375" customWidth="1"/>
  </cols>
  <sheetData>
    <row r="1" spans="1:20" ht="46.2" x14ac:dyDescent="0.8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0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0" ht="20.399999999999999" x14ac:dyDescent="0.35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Q3" s="91" t="s">
        <v>74</v>
      </c>
      <c r="R3" s="92"/>
      <c r="S3" s="92"/>
      <c r="T3" s="93"/>
    </row>
    <row r="4" spans="1:20" ht="14.4" customHeight="1" x14ac:dyDescent="0.3">
      <c r="Q4" s="105" t="s">
        <v>75</v>
      </c>
      <c r="R4" s="106"/>
      <c r="S4" s="106"/>
      <c r="T4" s="107"/>
    </row>
    <row r="5" spans="1:20" ht="14.4" customHeight="1" thickBot="1" x14ac:dyDescent="0.35">
      <c r="A5" s="120" t="s">
        <v>55</v>
      </c>
      <c r="B5" s="120" t="s">
        <v>56</v>
      </c>
      <c r="C5" s="24"/>
      <c r="D5" s="120" t="s">
        <v>57</v>
      </c>
      <c r="E5" s="120" t="s">
        <v>58</v>
      </c>
      <c r="F5" s="120" t="s">
        <v>59</v>
      </c>
      <c r="G5" s="120" t="s">
        <v>65</v>
      </c>
      <c r="H5" s="121"/>
      <c r="I5" s="94" t="s">
        <v>63</v>
      </c>
      <c r="J5" s="94"/>
      <c r="K5" s="94"/>
      <c r="L5" s="24"/>
      <c r="M5" s="120" t="s">
        <v>67</v>
      </c>
      <c r="N5" s="120" t="s">
        <v>73</v>
      </c>
      <c r="Q5" s="108"/>
      <c r="R5" s="109"/>
      <c r="S5" s="109"/>
      <c r="T5" s="110"/>
    </row>
    <row r="6" spans="1:20" ht="14.4" customHeight="1" thickTop="1" x14ac:dyDescent="0.3">
      <c r="A6" s="120"/>
      <c r="B6" s="120"/>
      <c r="C6" s="24"/>
      <c r="D6" s="120"/>
      <c r="E6" s="120"/>
      <c r="F6" s="120"/>
      <c r="G6" s="120"/>
      <c r="H6" s="121"/>
      <c r="I6" s="24" t="s">
        <v>60</v>
      </c>
      <c r="J6" s="50" t="s">
        <v>61</v>
      </c>
      <c r="K6" s="24" t="s">
        <v>62</v>
      </c>
      <c r="L6" s="24"/>
      <c r="M6" s="120"/>
      <c r="N6" s="120"/>
      <c r="Q6" s="108"/>
      <c r="R6" s="109"/>
      <c r="S6" s="109"/>
      <c r="T6" s="110"/>
    </row>
    <row r="7" spans="1:20" x14ac:dyDescent="0.3">
      <c r="A7" t="s">
        <v>64</v>
      </c>
      <c r="B7" s="27"/>
      <c r="C7" s="27"/>
      <c r="D7" s="33"/>
      <c r="E7" s="18"/>
      <c r="F7" s="18"/>
      <c r="G7" s="32"/>
      <c r="H7" s="26"/>
      <c r="I7" s="26">
        <v>0</v>
      </c>
      <c r="J7" s="26">
        <v>0</v>
      </c>
      <c r="K7" s="26">
        <v>0</v>
      </c>
      <c r="M7" s="31">
        <f>IF(D7="sell",F7*-SUM(I7:K7),0)</f>
        <v>0</v>
      </c>
      <c r="N7" s="31">
        <f>_xlfn.IFS(D7="buy",E7*SUM(I7:K7),D7="sell",E7*SUM(I7:K7),ISBLANK(D7),0)</f>
        <v>0</v>
      </c>
      <c r="Q7" s="108"/>
      <c r="R7" s="109"/>
      <c r="S7" s="109"/>
      <c r="T7" s="110"/>
    </row>
    <row r="8" spans="1:20" x14ac:dyDescent="0.3">
      <c r="A8" s="26">
        <v>1</v>
      </c>
      <c r="D8" s="32" t="s">
        <v>68</v>
      </c>
      <c r="E8" s="18">
        <v>3.5</v>
      </c>
      <c r="F8" s="18"/>
      <c r="G8" s="32"/>
      <c r="H8" s="26"/>
      <c r="I8" s="26">
        <v>150</v>
      </c>
      <c r="J8" s="26">
        <v>100</v>
      </c>
      <c r="K8" s="26"/>
      <c r="L8" s="26"/>
      <c r="M8" s="31">
        <f>IF(D8="sell",F8*-SUM(I8:K8),0)</f>
        <v>0</v>
      </c>
      <c r="N8" s="31">
        <f>_xlfn.IFS(D8="buy",E8*SUM(I8:K8),D8="sell",E8*SUM(I8:K8),ISBLANK(D8),0)</f>
        <v>875</v>
      </c>
      <c r="Q8" s="111"/>
      <c r="R8" s="112"/>
      <c r="S8" s="112"/>
      <c r="T8" s="113"/>
    </row>
    <row r="9" spans="1:20" x14ac:dyDescent="0.3">
      <c r="A9" s="26"/>
      <c r="D9" s="32" t="s">
        <v>68</v>
      </c>
      <c r="E9" s="18">
        <v>20</v>
      </c>
      <c r="F9" s="18"/>
      <c r="G9" s="32"/>
      <c r="H9" s="26"/>
      <c r="I9" s="26"/>
      <c r="J9" s="26"/>
      <c r="K9" s="26">
        <v>40</v>
      </c>
      <c r="L9" s="26"/>
      <c r="M9" s="31">
        <f t="shared" ref="M8:M11" si="0">IF(D9="sell",F9*-SUM(I9:K9),0)</f>
        <v>0</v>
      </c>
      <c r="N9" s="31">
        <f>_xlfn.IFS(D9="buy",E9*SUM(I9:K9),D9="sell",E9*SUM(I9:K9),ISBLANK(D9),0)</f>
        <v>800</v>
      </c>
    </row>
    <row r="10" spans="1:20" x14ac:dyDescent="0.3">
      <c r="A10" s="26"/>
      <c r="D10" s="32"/>
      <c r="E10" s="18"/>
      <c r="F10" s="18"/>
      <c r="G10" s="32"/>
      <c r="H10" s="26"/>
      <c r="I10" s="26"/>
      <c r="J10" s="26"/>
      <c r="K10" s="26"/>
      <c r="L10" s="26"/>
      <c r="M10" s="31">
        <f>IF(D10="sell",F10*-SUM(I10:K10),0)</f>
        <v>0</v>
      </c>
      <c r="N10" s="31">
        <f t="shared" ref="N10:N11" si="1">_xlfn.IFS(D10="buy",E10*SUM(I10:K10),D10="sell",E10*SUM(I10:K10),ISBLANK(D10),0)</f>
        <v>0</v>
      </c>
    </row>
    <row r="11" spans="1:20" x14ac:dyDescent="0.3">
      <c r="A11" s="26"/>
      <c r="D11" s="32"/>
      <c r="E11" s="18"/>
      <c r="F11" s="18"/>
      <c r="G11" s="32"/>
      <c r="H11" s="26"/>
      <c r="I11" s="26"/>
      <c r="J11" s="26"/>
      <c r="K11" s="26"/>
      <c r="L11" s="26"/>
      <c r="M11" s="31">
        <f t="shared" si="0"/>
        <v>0</v>
      </c>
      <c r="N11" s="31">
        <f t="shared" si="1"/>
        <v>0</v>
      </c>
      <c r="Q11" s="95" t="s">
        <v>76</v>
      </c>
      <c r="R11" s="96"/>
      <c r="S11" s="96"/>
      <c r="T11" s="97"/>
    </row>
    <row r="12" spans="1:20" ht="14.4" customHeight="1" x14ac:dyDescent="0.3">
      <c r="A12" s="28"/>
      <c r="B12" s="29"/>
      <c r="C12" s="29"/>
      <c r="D12" s="29"/>
      <c r="E12" s="29"/>
      <c r="F12" s="30"/>
      <c r="G12" s="30"/>
      <c r="H12" s="28"/>
      <c r="I12" s="28">
        <f>SUM(I7:I11)</f>
        <v>150</v>
      </c>
      <c r="J12" s="28">
        <f t="shared" ref="J12:K12" si="2">SUM(J7:J11)</f>
        <v>100</v>
      </c>
      <c r="K12" s="28">
        <f t="shared" si="2"/>
        <v>40</v>
      </c>
      <c r="L12" s="28"/>
      <c r="M12" s="30">
        <f>SUM(M7:M11)</f>
        <v>0</v>
      </c>
      <c r="N12" s="30">
        <f>SUM(N7:N11)</f>
        <v>1675</v>
      </c>
      <c r="Q12" s="118" t="s">
        <v>55</v>
      </c>
      <c r="R12" s="116" t="s">
        <v>60</v>
      </c>
      <c r="S12" s="116" t="s">
        <v>61</v>
      </c>
      <c r="T12" s="114" t="s">
        <v>62</v>
      </c>
    </row>
    <row r="13" spans="1:20" x14ac:dyDescent="0.3">
      <c r="A13" s="26">
        <v>2</v>
      </c>
      <c r="D13" s="32" t="s">
        <v>72</v>
      </c>
      <c r="E13" s="18">
        <v>3.5</v>
      </c>
      <c r="F13" s="18">
        <v>20</v>
      </c>
      <c r="G13" s="32" t="s">
        <v>69</v>
      </c>
      <c r="H13" s="26"/>
      <c r="I13" s="26">
        <v>-12</v>
      </c>
      <c r="J13" s="26">
        <v>-7</v>
      </c>
      <c r="K13" s="26"/>
      <c r="L13" s="26"/>
      <c r="M13" s="31">
        <f t="shared" ref="M13:M14" si="3">IF(D13="sell",F13*-SUM(I13:K13),0)</f>
        <v>380</v>
      </c>
      <c r="N13" s="31">
        <f>_xlfn.IFS(D13="buy",E13*SUM(I13:K13),D13="sell",E13*SUM(I13:K13),ISBLANK(D13),0)</f>
        <v>-66.5</v>
      </c>
      <c r="Q13" s="119"/>
      <c r="R13" s="117"/>
      <c r="S13" s="117"/>
      <c r="T13" s="115"/>
    </row>
    <row r="14" spans="1:20" ht="14.4" customHeight="1" x14ac:dyDescent="0.3">
      <c r="A14" s="26"/>
      <c r="D14" s="32" t="s">
        <v>72</v>
      </c>
      <c r="E14" s="18">
        <v>3.5</v>
      </c>
      <c r="F14" s="18">
        <v>20</v>
      </c>
      <c r="G14" s="32" t="s">
        <v>71</v>
      </c>
      <c r="H14" s="26"/>
      <c r="I14" s="26">
        <v>-24</v>
      </c>
      <c r="J14" s="26">
        <v>-14</v>
      </c>
      <c r="K14" s="26"/>
      <c r="L14" s="26"/>
      <c r="M14" s="31">
        <f t="shared" si="3"/>
        <v>760</v>
      </c>
      <c r="N14" s="31">
        <f>_xlfn.IFS(D14="buy",E14*SUM(I14:K14),D14="sell",E14*SUM(I14:K14),ISBLANK(D14),0)</f>
        <v>-133</v>
      </c>
      <c r="Q14" s="42">
        <v>1</v>
      </c>
      <c r="R14" s="46">
        <f>SUM(IF($D$8="sell",$E$8*-I8,0),IF($D$9="sell",$E$9*-I9,0),IF($D$10="sell",$E$10*-I10,0),IF($D$11="sell",$E$11*-I11,0))</f>
        <v>0</v>
      </c>
      <c r="S14" s="46">
        <f>SUM(IF($D$8="sell",$E$8*-J8,0),IF($D$9="sell",$E$9*-J9,0),IF($D$10="sell",$E$10*-J10,0),IF($D$11="sell",$E$11*-J11,0))</f>
        <v>0</v>
      </c>
      <c r="T14" s="19">
        <f t="shared" ref="T14" si="4">SUM(IF($D$8="sell",$E$8*-K8,0),IF($D$9="sell",$E$9*-K9,0),IF($D$10="sell",$E$10*-K10,0),IF($D$11="sell",$E$11*-K11,0))</f>
        <v>0</v>
      </c>
    </row>
    <row r="15" spans="1:20" x14ac:dyDescent="0.3">
      <c r="A15" s="26"/>
      <c r="D15" s="32" t="s">
        <v>72</v>
      </c>
      <c r="E15" s="18">
        <v>3.5</v>
      </c>
      <c r="F15" s="18">
        <v>20</v>
      </c>
      <c r="G15" s="32" t="s">
        <v>70</v>
      </c>
      <c r="H15" s="26"/>
      <c r="I15" s="26">
        <v>-11</v>
      </c>
      <c r="J15" s="26">
        <v>-7</v>
      </c>
      <c r="K15" s="26"/>
      <c r="L15" s="26"/>
      <c r="M15" s="31">
        <f>IF(D15="sell",F15*-SUM(I15:K15),0)</f>
        <v>360</v>
      </c>
      <c r="N15" s="31">
        <f>_xlfn.IFS(D15="buy",E15*SUM(I15:K15),D15="sell",E15*SUM(I15:K15),ISBLANK(D15),0)</f>
        <v>-63</v>
      </c>
      <c r="Q15" s="42">
        <v>2</v>
      </c>
      <c r="R15" s="46">
        <f>SUM(IF($D$13="sell",$E$13*-I13,0),IF($D$14="sell",$E$14*-I14,0),IF($D$15="sell",$E$15*-I15,0),IF($D$16="sell",$E$16*-I16,0))</f>
        <v>164.5</v>
      </c>
      <c r="S15" s="46">
        <f t="shared" ref="S15" si="5">SUM(IF($D$13="sell",$E$13*-J13,0),IF($D$14="sell",$E$14*-J14,0),IF($D$15="sell",$E$15*-J15,0),IF($D$16="sell",$E$16*-J16,0))</f>
        <v>98</v>
      </c>
      <c r="T15" s="19">
        <f>SUM(IF($D$13="sell",$E$13*-K13,0),IF($D$14="sell",$E$14*-K14,0),IF($D$15="sell",$E$15*-K15,0),IF($D$16="sell",$E$16*-K16,0))</f>
        <v>0</v>
      </c>
    </row>
    <row r="16" spans="1:20" x14ac:dyDescent="0.3">
      <c r="A16" s="26"/>
      <c r="D16" s="32"/>
      <c r="E16" s="18"/>
      <c r="F16" s="18"/>
      <c r="G16" s="32"/>
      <c r="H16" s="26"/>
      <c r="I16" s="26"/>
      <c r="J16" s="26"/>
      <c r="K16" s="26"/>
      <c r="L16" s="26"/>
      <c r="M16" s="31">
        <f t="shared" ref="M16" si="6">IF(D16="sell",F16*-SUM(I16:K16),0)</f>
        <v>0</v>
      </c>
      <c r="N16" s="31">
        <f t="shared" ref="N16" si="7">_xlfn.IFS(D16="buy",E16*SUM(I16:K16),D16="sell",E16*SUM(I16:K16),ISBLANK(D16),0)</f>
        <v>0</v>
      </c>
      <c r="Q16" s="42">
        <v>3</v>
      </c>
      <c r="R16" s="46">
        <f>SUM(IF($D$18="sell",$E$18*-I18,0),IF($D$19="sell",$E$19*-I19,0),IF($D$20="sell",$E$20*-I20,0),IF($D$21="sell",$E$21*-I21,0))</f>
        <v>84</v>
      </c>
      <c r="S16" s="46">
        <f t="shared" ref="S16:T16" si="8">SUM(IF($D$18="sell",$E$18*-J18,0),IF($D$19="sell",$E$19*-J19,0),IF($D$20="sell",$E$20*-J20,0),IF($D$21="sell",$E$21*-J21,0))</f>
        <v>91</v>
      </c>
      <c r="T16" s="19">
        <f t="shared" si="8"/>
        <v>300</v>
      </c>
    </row>
    <row r="17" spans="1:20" x14ac:dyDescent="0.3">
      <c r="A17" s="28"/>
      <c r="B17" s="29"/>
      <c r="C17" s="29"/>
      <c r="D17" s="29"/>
      <c r="E17" s="29"/>
      <c r="F17" s="30"/>
      <c r="G17" s="68">
        <f>-SUM(I13:J16)</f>
        <v>75</v>
      </c>
      <c r="H17" s="28"/>
      <c r="I17" s="28">
        <f>SUM(I12:I16)</f>
        <v>103</v>
      </c>
      <c r="J17" s="28">
        <f t="shared" ref="J17" si="9">SUM(J12:J16)</f>
        <v>72</v>
      </c>
      <c r="K17" s="28">
        <f t="shared" ref="K17" si="10">SUM(K12:K16)</f>
        <v>40</v>
      </c>
      <c r="L17" s="28"/>
      <c r="M17" s="30">
        <f>SUM(M12:M16)</f>
        <v>1500</v>
      </c>
      <c r="N17" s="30">
        <f>SUM(N12:N16)</f>
        <v>1412.5</v>
      </c>
      <c r="Q17" s="42">
        <v>4</v>
      </c>
      <c r="R17" s="46">
        <f>SUM(IF($D$23="sell",$E$23*-I23,0),IF($D$24="sell",$E$24*-I24,0),IF($D$25="sell",$E$25*-I25,0),IF($D$26="sell",$E$26*-I26,0))</f>
        <v>94.5</v>
      </c>
      <c r="S17" s="46">
        <f t="shared" ref="S17" si="11">SUM(IF($D$23="sell",$E$23*-J23,0),IF($D$24="sell",$E$24*-J24,0),IF($D$25="sell",$E$25*-J25,0),IF($D$26="sell",$E$26*-J26,0))</f>
        <v>80.5</v>
      </c>
      <c r="T17" s="19">
        <f>SUM(IF($D$23="sell",$E$23*-K23,0),IF($D$24="sell",$E$24*-K24,0),IF($D$25="sell",$E$25*-K25,0),IF($D$26="sell",$E$26*-K26,0))</f>
        <v>200</v>
      </c>
    </row>
    <row r="18" spans="1:20" x14ac:dyDescent="0.3">
      <c r="A18" s="26">
        <v>3</v>
      </c>
      <c r="D18" s="32" t="s">
        <v>72</v>
      </c>
      <c r="E18" s="18">
        <v>3.5</v>
      </c>
      <c r="F18" s="18">
        <v>20</v>
      </c>
      <c r="G18" s="32" t="s">
        <v>69</v>
      </c>
      <c r="H18" s="26"/>
      <c r="I18" s="26">
        <v>-12</v>
      </c>
      <c r="J18" s="26">
        <v>-8</v>
      </c>
      <c r="K18" s="26"/>
      <c r="L18" s="26"/>
      <c r="M18" s="31">
        <f t="shared" ref="M18:M19" si="12">IF(D18="sell",F18*-SUM(I18:K18),0)</f>
        <v>400</v>
      </c>
      <c r="N18" s="31">
        <f>_xlfn.IFS(D18="buy",E18*SUM(I18:K18),D18="sell",E18*SUM(I18:K18),ISBLANK(D18),0)</f>
        <v>-70</v>
      </c>
      <c r="Q18" s="42">
        <v>5</v>
      </c>
      <c r="R18" s="46">
        <f>SUM(IF($D$28="sell",$E$28*-I28,0),IF($D$29="sell",$E$29*-I29,0),IF($D$30="sell",$E$31*-I30,0),IF($D$31="sell",E30*-I31,0))</f>
        <v>70</v>
      </c>
      <c r="S18" s="46">
        <f>SUM(IF($D$28="sell",$E$28*-J28,0),IF($D$29="sell",$E$29*-J29,0),IF($D$30="sell",$E$30*-J30,0),IF($D$31="sell",E31*-J31,0))</f>
        <v>35</v>
      </c>
      <c r="T18" s="19">
        <f>SUM(IF($D$28="sell",$E$28*-K28,0),IF($D$29="sell",$E$29*-K29,0),IF($D$30="sell",$E$30*-K30,0),IF($D$31="sell",E31*-K31,0))</f>
        <v>160</v>
      </c>
    </row>
    <row r="19" spans="1:20" x14ac:dyDescent="0.3">
      <c r="A19" s="26"/>
      <c r="D19" s="32" t="s">
        <v>72</v>
      </c>
      <c r="E19" s="18">
        <v>3.5</v>
      </c>
      <c r="F19" s="18">
        <v>20</v>
      </c>
      <c r="G19" s="32" t="s">
        <v>71</v>
      </c>
      <c r="H19" s="26"/>
      <c r="I19" s="26">
        <v>-12</v>
      </c>
      <c r="J19" s="26">
        <v>-8</v>
      </c>
      <c r="K19" s="26"/>
      <c r="L19" s="26"/>
      <c r="M19" s="31">
        <f t="shared" si="12"/>
        <v>400</v>
      </c>
      <c r="N19" s="31">
        <f>_xlfn.IFS(D19="buy",E19*SUM(I19:K19),D19="sell",E19*SUM(I19:K19),ISBLANK(D19),0)</f>
        <v>-70</v>
      </c>
      <c r="Q19" s="42">
        <v>6</v>
      </c>
      <c r="R19" s="46">
        <f>SUM(IF($D$33="sell",$E$33*-I33,0),IF($D$34="sell",$E$34*-I34,0),IF($D$35="sell",$E$35*-I35,0),IF($D$36="sell",$E$36*-I36,0))</f>
        <v>66.5</v>
      </c>
      <c r="S19" s="46">
        <f>SUM(IF($D$33="sell",$E$33*-J33,0),IF($D$34="sell",$E$34*-J34,0),IF($D$35="sell",$E$35*-J35,0),IF($D$36="sell",$E$36*-J36,0))</f>
        <v>21</v>
      </c>
      <c r="T19" s="19">
        <f>SUM(IF($D$33="sell",$E$33*-K33,0),IF($D$34="sell",$E$34*-K34,0),IF($D$35="sell",$E$35*-K35,0),IF($D$36="sell",$E$36*-K36,0))</f>
        <v>120</v>
      </c>
    </row>
    <row r="20" spans="1:20" x14ac:dyDescent="0.3">
      <c r="A20" s="26"/>
      <c r="D20" s="32" t="s">
        <v>72</v>
      </c>
      <c r="E20" s="18">
        <v>3.5</v>
      </c>
      <c r="F20" s="18">
        <v>20</v>
      </c>
      <c r="G20" s="32" t="s">
        <v>70</v>
      </c>
      <c r="H20" s="26"/>
      <c r="I20" s="26"/>
      <c r="J20" s="26">
        <v>-10</v>
      </c>
      <c r="K20" s="26"/>
      <c r="L20" s="26"/>
      <c r="M20" s="31">
        <f>IF(D20="sell",F20*-SUM(I20:K20),0)</f>
        <v>200</v>
      </c>
      <c r="N20" s="31">
        <f>_xlfn.IFS(D20="buy",E20*SUM(I20:K20),D20="sell",E20*SUM(I20:K20),ISBLANK(D20),0)</f>
        <v>-35</v>
      </c>
      <c r="Q20" s="42">
        <v>7</v>
      </c>
      <c r="R20" s="46">
        <f>SUM(IF($D$38="sell",$E$38*-I38,0),IF($D$39="sell",$E$39*-I39,0),IF($D$40="sell",$E$40*-I40,0),IF($D$41="sell",$E$41*-I41,0))</f>
        <v>21</v>
      </c>
      <c r="S20" s="46">
        <f t="shared" ref="S20" si="13">SUM(IF($D$38="sell",$E$38*-J38,0),IF($D$39="sell",$E$39*-J39,0),IF($D$40="sell",$E$40*-J40,0),IF($D$41="sell",$E$41*-J41,0))</f>
        <v>14</v>
      </c>
      <c r="T20" s="19">
        <f>SUM(IF($D$38="sell",$E$38*-K38,0),IF($D$39="sell",$E$39*-K39,0),IF($D$40="sell",$E$40*-K40,0),IF($D$41="sell",$E$41*-K41,0))</f>
        <v>20</v>
      </c>
    </row>
    <row r="21" spans="1:20" x14ac:dyDescent="0.3">
      <c r="A21" s="26"/>
      <c r="D21" s="32" t="s">
        <v>72</v>
      </c>
      <c r="E21" s="18">
        <v>20</v>
      </c>
      <c r="F21" s="18">
        <v>50</v>
      </c>
      <c r="G21" s="32" t="s">
        <v>70</v>
      </c>
      <c r="H21" s="26"/>
      <c r="I21" s="26"/>
      <c r="J21" s="26"/>
      <c r="K21" s="26">
        <v>-15</v>
      </c>
      <c r="L21" s="26"/>
      <c r="M21" s="31">
        <f t="shared" ref="M21" si="14">IF(D21="sell",F21*-SUM(I21:K21),0)</f>
        <v>750</v>
      </c>
      <c r="N21" s="31">
        <f>_xlfn.IFS(D21="buy",E21*SUM(I21:K21),D21="sell",E21*SUM(I21:K21),ISBLANK(D21),0)</f>
        <v>-300</v>
      </c>
      <c r="Q21" s="43">
        <v>8</v>
      </c>
      <c r="R21" s="44">
        <f>SUM(IF($D$43="sell",$E$43*-I43,0),IF($D$44="sell",$E$44*-I44,0),IF($D$45="sell",$E$45*-I45,0),IF($D$46="sell",$E$46*-I46,0))</f>
        <v>24.5</v>
      </c>
      <c r="S21" s="44">
        <f t="shared" ref="S21" si="15">SUM(IF($D$43="sell",$E$43*-J43,0),IF($D$44="sell",$E$44*-J44,0),IF($D$45="sell",$E$45*-J45,0),IF($D$46="sell",$E$46*-J46,0))</f>
        <v>10.5</v>
      </c>
      <c r="T21" s="45">
        <f>SUM(IF($D$43="sell",$E$43*-K43,0),IF($D$44="sell",$E$44*-K44,0),IF($D$45="sell",$E$45*-K45,0),IF($D$46="sell",$E$46*-K46,0))</f>
        <v>0</v>
      </c>
    </row>
    <row r="22" spans="1:20" x14ac:dyDescent="0.3">
      <c r="A22" s="28"/>
      <c r="B22" s="29"/>
      <c r="C22" s="29"/>
      <c r="D22" s="29"/>
      <c r="E22" s="29"/>
      <c r="F22" s="30"/>
      <c r="G22" s="68">
        <f>-SUM(I18:J21)</f>
        <v>50</v>
      </c>
      <c r="H22" s="28"/>
      <c r="I22" s="28">
        <f>SUM(I17:I21)</f>
        <v>79</v>
      </c>
      <c r="J22" s="28">
        <f t="shared" ref="J22" si="16">SUM(J17:J21)</f>
        <v>46</v>
      </c>
      <c r="K22" s="28">
        <f t="shared" ref="K22" si="17">SUM(K17:K21)</f>
        <v>25</v>
      </c>
      <c r="L22" s="28"/>
      <c r="M22" s="30">
        <f>SUM(M17:M21)</f>
        <v>3250</v>
      </c>
      <c r="N22" s="30">
        <f>SUM(N17:N21)</f>
        <v>937.5</v>
      </c>
    </row>
    <row r="23" spans="1:20" x14ac:dyDescent="0.3">
      <c r="A23" s="26">
        <v>4</v>
      </c>
      <c r="D23" s="32" t="s">
        <v>72</v>
      </c>
      <c r="E23" s="18">
        <v>3.5</v>
      </c>
      <c r="F23" s="18">
        <v>20</v>
      </c>
      <c r="G23" s="32" t="s">
        <v>69</v>
      </c>
      <c r="H23" s="26"/>
      <c r="I23" s="26">
        <v>-12</v>
      </c>
      <c r="J23" s="26">
        <v>-8</v>
      </c>
      <c r="K23" s="26"/>
      <c r="L23" s="26"/>
      <c r="M23" s="31">
        <f t="shared" ref="M23:M24" si="18">IF(D23="sell",F23*-SUM(I23:K23),0)</f>
        <v>400</v>
      </c>
      <c r="N23" s="31">
        <f>_xlfn.IFS(D23="buy",E23*SUM(I23:K23),D23="sell",E23*SUM(I23:K23),ISBLANK(D23),0)</f>
        <v>-70</v>
      </c>
    </row>
    <row r="24" spans="1:20" x14ac:dyDescent="0.3">
      <c r="A24" s="26"/>
      <c r="D24" s="32" t="s">
        <v>72</v>
      </c>
      <c r="E24" s="18">
        <v>3.5</v>
      </c>
      <c r="F24" s="18">
        <v>20</v>
      </c>
      <c r="G24" s="32" t="s">
        <v>71</v>
      </c>
      <c r="H24" s="26"/>
      <c r="I24" s="26">
        <v>-12</v>
      </c>
      <c r="J24" s="26">
        <v>-8</v>
      </c>
      <c r="K24" s="26"/>
      <c r="L24" s="26"/>
      <c r="M24" s="31">
        <f t="shared" si="18"/>
        <v>400</v>
      </c>
      <c r="N24" s="31">
        <f>_xlfn.IFS(D24="buy",E24*SUM(I24:K24),D24="sell",E24*SUM(I24:K24),ISBLANK(D24),0)</f>
        <v>-70</v>
      </c>
      <c r="Q24" s="95" t="s">
        <v>77</v>
      </c>
      <c r="R24" s="96"/>
      <c r="S24" s="96"/>
      <c r="T24" s="97"/>
    </row>
    <row r="25" spans="1:20" x14ac:dyDescent="0.3">
      <c r="A25" s="26"/>
      <c r="D25" s="32" t="s">
        <v>72</v>
      </c>
      <c r="E25" s="18">
        <v>3.5</v>
      </c>
      <c r="F25" s="18">
        <v>20</v>
      </c>
      <c r="G25" s="32" t="s">
        <v>70</v>
      </c>
      <c r="H25" s="26"/>
      <c r="I25" s="26">
        <v>-3</v>
      </c>
      <c r="J25" s="26">
        <v>-7</v>
      </c>
      <c r="K25" s="26"/>
      <c r="L25" s="26"/>
      <c r="M25" s="31">
        <f>IF(D25="sell",F25*-SUM(I25:K25),0)</f>
        <v>200</v>
      </c>
      <c r="N25" s="31">
        <f>_xlfn.IFS(D25="buy",E25*SUM(I25:K25),D25="sell",E25*SUM(I25:K25),ISBLANK(D25),0)</f>
        <v>-35</v>
      </c>
      <c r="Q25" s="52" t="s">
        <v>55</v>
      </c>
      <c r="R25" s="53" t="s">
        <v>14</v>
      </c>
      <c r="S25" s="53" t="s">
        <v>78</v>
      </c>
      <c r="T25" s="54" t="s">
        <v>52</v>
      </c>
    </row>
    <row r="26" spans="1:20" x14ac:dyDescent="0.3">
      <c r="A26" s="26"/>
      <c r="D26" s="32" t="s">
        <v>72</v>
      </c>
      <c r="E26" s="18">
        <v>20</v>
      </c>
      <c r="F26" s="18">
        <v>50</v>
      </c>
      <c r="G26" s="32" t="s">
        <v>70</v>
      </c>
      <c r="H26" s="26"/>
      <c r="I26" s="26"/>
      <c r="J26" s="26"/>
      <c r="K26" s="26">
        <v>-10</v>
      </c>
      <c r="L26" s="26"/>
      <c r="M26" s="31">
        <f t="shared" ref="M26" si="19">IF(D26="sell",F26*-SUM(I26:K26),0)</f>
        <v>500</v>
      </c>
      <c r="N26" s="31">
        <f>_xlfn.IFS(D26="buy",E26*SUM(I26:K26),D26="sell",E26*SUM(I26:K26),ISBLANK(D26),0)</f>
        <v>-200</v>
      </c>
      <c r="Q26" s="42">
        <v>1</v>
      </c>
      <c r="R26" s="46">
        <f>SUM(IF($G$8="cash",$M$8,0),IF($G$9="cash",$M$9,0),IF($G$10="cash",$M$10,0),IF($G$11="cash",$M$11,0))</f>
        <v>0</v>
      </c>
      <c r="S26" s="46">
        <f>SUM(IF($G$8="venmo",$M$8,0),IF($G$9="venmo",$M$9,0),IF($G$10="venmo",$M$10,0),IF($G$11="venmo",$M$11,0))</f>
        <v>0</v>
      </c>
      <c r="T26" s="19">
        <f>SUM(IF($G$8="credit",$M$8,0),IF($G$9="credit",$M$9,0),IF($G$10="credit",$M$10,0),IF($G$11="credit",$M$11,0))</f>
        <v>0</v>
      </c>
    </row>
    <row r="27" spans="1:20" x14ac:dyDescent="0.3">
      <c r="A27" s="28"/>
      <c r="B27" s="29"/>
      <c r="C27" s="29"/>
      <c r="D27" s="29"/>
      <c r="E27" s="29"/>
      <c r="F27" s="30"/>
      <c r="G27" s="68">
        <f>-SUM(I23:J26)</f>
        <v>50</v>
      </c>
      <c r="H27" s="28"/>
      <c r="I27" s="28">
        <f>SUM(I22:I26)</f>
        <v>52</v>
      </c>
      <c r="J27" s="28">
        <f t="shared" ref="J27" si="20">SUM(J22:J26)</f>
        <v>23</v>
      </c>
      <c r="K27" s="28">
        <f t="shared" ref="K27" si="21">SUM(K22:K26)</f>
        <v>15</v>
      </c>
      <c r="L27" s="28"/>
      <c r="M27" s="30">
        <f>SUM(M22:M26)</f>
        <v>4750</v>
      </c>
      <c r="N27" s="30">
        <f>SUM(N22:N26)</f>
        <v>562.5</v>
      </c>
      <c r="Q27" s="42">
        <v>2</v>
      </c>
      <c r="R27" s="46">
        <f>SUM(IF($G$13="cash",$M$13,0),IF($G$14="cash",$M$14,0),IF($G$15="cash",$M$15,0),IF($G$16="cash",$M$16,0))</f>
        <v>380</v>
      </c>
      <c r="S27" s="46">
        <f>SUM(IF($G$13="venmo",$M$13,0),IF($G$14="venmo",$M$14,0),IF($G$15="venmo",$M$15,0),IF($G$16="venmo",$M$16,0))</f>
        <v>360</v>
      </c>
      <c r="T27" s="19">
        <f>SUM(IF($G$13="credit",$M$13,0),IF($G$14="credit",$M$14,0),IF($G$15="credit",$M$15,0),IF($G$16="credit",$M$16,0))</f>
        <v>760</v>
      </c>
    </row>
    <row r="28" spans="1:20" x14ac:dyDescent="0.3">
      <c r="A28" s="26">
        <v>5</v>
      </c>
      <c r="D28" s="32" t="s">
        <v>72</v>
      </c>
      <c r="E28" s="18">
        <v>3.5</v>
      </c>
      <c r="F28" s="18">
        <v>20</v>
      </c>
      <c r="G28" s="32" t="s">
        <v>71</v>
      </c>
      <c r="H28" s="26"/>
      <c r="I28" s="26">
        <v>-10</v>
      </c>
      <c r="J28" s="26">
        <v>-4</v>
      </c>
      <c r="K28" s="26"/>
      <c r="L28" s="26"/>
      <c r="M28" s="31">
        <f t="shared" ref="M28" si="22">IF(D28="sell",F28*-SUM(I28:K28),0)</f>
        <v>280</v>
      </c>
      <c r="N28" s="31">
        <f>_xlfn.IFS(D28="buy",E28*SUM(I28:K28),D28="sell",E28*SUM(I28:K28),ISBLANK(D28),0)</f>
        <v>-49</v>
      </c>
      <c r="Q28" s="42">
        <v>3</v>
      </c>
      <c r="R28" s="46">
        <f>SUM(IF($G$18="cash",$M$18,0),IF($G$19="cash",$M$19,0),IF($G$20="cash",$M$20,0),IF($G$21="cash",$M$21,0))</f>
        <v>400</v>
      </c>
      <c r="S28" s="46">
        <f>SUM(IF($G$18="venmo",$M$18,0),IF($G$19="venmo",$M$19,0),IF($G$20="venmo",$M$20,0),IF($G$21="venmo",$M$21,0))</f>
        <v>950</v>
      </c>
      <c r="T28" s="19">
        <f>SUM(IF($G$18="credit",$M$18,0),IF($G$19="credit",$M$19,0),IF($G$20="credit",$M$20,0),IF($G$21="credit",$M$21,0))</f>
        <v>400</v>
      </c>
    </row>
    <row r="29" spans="1:20" x14ac:dyDescent="0.3">
      <c r="A29" s="26"/>
      <c r="D29" s="32" t="s">
        <v>72</v>
      </c>
      <c r="E29" s="18">
        <v>3.5</v>
      </c>
      <c r="F29" s="18">
        <v>20</v>
      </c>
      <c r="G29" s="32" t="s">
        <v>69</v>
      </c>
      <c r="H29" s="26"/>
      <c r="I29" s="26">
        <v>-10</v>
      </c>
      <c r="J29" s="26">
        <v>-4</v>
      </c>
      <c r="K29" s="26"/>
      <c r="L29" s="26"/>
      <c r="M29" s="31">
        <f>IF(D29="sell",F29*-SUM(I29:K29),0)</f>
        <v>280</v>
      </c>
      <c r="N29" s="31">
        <f>_xlfn.IFS(D29="buy",E29*SUM(I29:K29),D29="sell",E29*SUM(I29:K29),ISBLANK(D29),0)</f>
        <v>-49</v>
      </c>
      <c r="Q29" s="42">
        <v>4</v>
      </c>
      <c r="R29" s="46">
        <f>SUM(IF($G$23="cash",$M$23,0),IF($G$24="cash",$M$24,0),IF($G$25="cash",$M$25,0),IF($G$26="cash",$M$26,0))</f>
        <v>400</v>
      </c>
      <c r="S29" s="46">
        <f>SUM(IF($G$23="venmo",$M$23,0),IF($G$24="venmo",$M$24,0),IF($G$25="venmo",$M$25,0),IF($G$26="venmo",$M$26,0))</f>
        <v>700</v>
      </c>
      <c r="T29" s="19">
        <f>SUM(IF($G$23="credit",$M$23,0),IF($G$24="credit",$M$24,0),IF($G$25="credit",$M$25,0),IF($G$26="credit",$M$26,0))</f>
        <v>400</v>
      </c>
    </row>
    <row r="30" spans="1:20" x14ac:dyDescent="0.3">
      <c r="A30" s="26"/>
      <c r="D30" s="32" t="s">
        <v>72</v>
      </c>
      <c r="E30" s="18">
        <v>3.5</v>
      </c>
      <c r="F30" s="18">
        <v>20</v>
      </c>
      <c r="G30" s="32" t="s">
        <v>70</v>
      </c>
      <c r="H30" s="26"/>
      <c r="I30" s="26"/>
      <c r="J30" s="26">
        <v>-2</v>
      </c>
      <c r="K30" s="26"/>
      <c r="L30" s="26"/>
      <c r="M30" s="31">
        <f>IF(D30="sell",F30*-SUM(I30:K30),0)</f>
        <v>40</v>
      </c>
      <c r="N30" s="31">
        <f>_xlfn.IFS(D30="buy",E30*SUM(I30:K30),D30="sell",E30*SUM(I30:K30),ISBLANK(D30),0)</f>
        <v>-7</v>
      </c>
      <c r="Q30" s="42">
        <v>5</v>
      </c>
      <c r="R30" s="46">
        <f>SUM(IF($G$28="cash",$M$28,0),IF($G$29="cash",$M$29,0),IF($G$30="cash",$M$30,0),IF($G$31="cash",$M$31,0))</f>
        <v>280</v>
      </c>
      <c r="S30" s="46">
        <f>SUM(IF($G$28="venmo",$M$28,0),IF($G$29="venmo",$M$29,0),IF($G$30="venmo",$M$30,0),IF($G$31="venmo",$M$31,0))</f>
        <v>440</v>
      </c>
      <c r="T30" s="19">
        <f>SUM(IF($G$28="credit",$M$28,0),IF($G$29="credit",$M$29,0),IF($G$30="credit",$M$30,0),IF($G$31="credit",$M$31,0))</f>
        <v>280</v>
      </c>
    </row>
    <row r="31" spans="1:20" x14ac:dyDescent="0.3">
      <c r="A31" s="26"/>
      <c r="D31" s="32" t="s">
        <v>72</v>
      </c>
      <c r="E31" s="18">
        <v>20</v>
      </c>
      <c r="F31" s="18">
        <v>50</v>
      </c>
      <c r="G31" s="32" t="s">
        <v>70</v>
      </c>
      <c r="H31" s="26"/>
      <c r="I31" s="26"/>
      <c r="J31" s="26"/>
      <c r="K31" s="26">
        <v>-8</v>
      </c>
      <c r="L31" s="26"/>
      <c r="M31" s="31">
        <f>IF(D31="sell",F31*-SUM(I31:K31),0)</f>
        <v>400</v>
      </c>
      <c r="N31" s="31">
        <f>_xlfn.IFS(D31="buy",E31*SUM(I31:K31),D31="sell",E31*SUM(I31:K31),ISBLANK(D31),0)</f>
        <v>-160</v>
      </c>
      <c r="Q31" s="42">
        <v>6</v>
      </c>
      <c r="R31" s="46">
        <f>SUM(IF($G$33="cash",$M$33,0),IF($G$34="cash",$M$34,0),IF($G$35="cash",$M$35,0),IF($G$36="cash",$M$36,0))</f>
        <v>225</v>
      </c>
      <c r="S31" s="46">
        <f>SUM(IF($G$33="venmo",$M$33,0),IF($G$34="venmo",$M$34,0),IF($G$35="venmo",$M$35,0),IF($G$36="venmo",$M$36,0))</f>
        <v>150</v>
      </c>
      <c r="T31" s="19">
        <f>SUM(IF($G$33="credit",$M$33,0),IF($G$34="credit",$M$34,0),IF($G$35="credit",$M$35,0),IF($G$36="credit",$M$36,0))</f>
        <v>270</v>
      </c>
    </row>
    <row r="32" spans="1:20" x14ac:dyDescent="0.3">
      <c r="A32" s="28"/>
      <c r="B32" s="29"/>
      <c r="C32" s="29"/>
      <c r="D32" s="29"/>
      <c r="E32" s="29"/>
      <c r="F32" s="30"/>
      <c r="G32" s="68">
        <f>-SUM(I28:J31)</f>
        <v>30</v>
      </c>
      <c r="H32" s="28"/>
      <c r="I32" s="28">
        <f>SUM(I27:I31)</f>
        <v>32</v>
      </c>
      <c r="J32" s="28">
        <f t="shared" ref="J32" si="23">SUM(J27:J31)</f>
        <v>13</v>
      </c>
      <c r="K32" s="28">
        <f t="shared" ref="K32" si="24">SUM(K27:K31)</f>
        <v>7</v>
      </c>
      <c r="L32" s="28"/>
      <c r="M32" s="30">
        <f>SUM(M27:M31)</f>
        <v>5750</v>
      </c>
      <c r="N32" s="30">
        <f>SUM(N27:N31)</f>
        <v>297.5</v>
      </c>
      <c r="Q32" s="42">
        <v>7</v>
      </c>
      <c r="R32" s="46">
        <f>SUM(IF($G$38="cash",$M$38,0),IF($G$39="cash",$M$39,0),IF($G$40="cash",$M$40,0),IF($G$41="cash",$M$41,0))</f>
        <v>75</v>
      </c>
      <c r="S32" s="46">
        <f>SUM(IF($G$38="venmo",$M$38,0),IF($G$39="venmo",$M$39,0),IF($G$40="venmo",$M$40,0),IF($G$41="venmo",$M$41,0))</f>
        <v>75</v>
      </c>
      <c r="T32" s="19">
        <f>SUM(IF($G$38="credit",$M$38,0),IF($G$39="credit",$M$39,0),IF($G$40="credit",$M$40,0),IF($G$41="credit",$M$41,0))</f>
        <v>40</v>
      </c>
    </row>
    <row r="33" spans="1:20" x14ac:dyDescent="0.3">
      <c r="A33" s="26">
        <v>6</v>
      </c>
      <c r="D33" s="32" t="s">
        <v>72</v>
      </c>
      <c r="E33" s="18">
        <v>3.5</v>
      </c>
      <c r="F33" s="18">
        <v>15</v>
      </c>
      <c r="G33" s="32" t="s">
        <v>70</v>
      </c>
      <c r="H33" s="26"/>
      <c r="I33" s="26">
        <v>-7</v>
      </c>
      <c r="J33" s="26">
        <v>-3</v>
      </c>
      <c r="K33" s="26"/>
      <c r="L33" s="26"/>
      <c r="M33" s="31">
        <f t="shared" ref="M33:M34" si="25">IF(D33="sell",F33*-SUM(I33:K33),0)</f>
        <v>150</v>
      </c>
      <c r="N33" s="31">
        <f t="shared" ref="N33:N36" si="26">_xlfn.IFS(D33="buy",E33*SUM(I33:K33),D33="sell",E33*SUM(I33:K33),ISBLANK(D33),0)</f>
        <v>-35</v>
      </c>
      <c r="Q33" s="43">
        <v>8</v>
      </c>
      <c r="R33" s="44">
        <f>SUM(IF($G$43="cash",$M$43,0),IF($G$44="cash",$M$44,0),IF($G$45="cash",$M$45,0),IF($G$46="cash",$M$46,0))</f>
        <v>75</v>
      </c>
      <c r="S33" s="44">
        <f>SUM(IF($G$43="venmo",$M$43,0),IF($G$44="venmo",$M$44,0),IF($G$45="venmo",$M$45,0),IF($G$46="venmo",$M$46,0))</f>
        <v>30</v>
      </c>
      <c r="T33" s="45">
        <f>SUM(IF($G$43="credit",$M$43,0),IF($G$44="credit",$M$44,0),IF($G$45="credit",$M$45,0),IF($G$46="credit",$M$46,0))</f>
        <v>45</v>
      </c>
    </row>
    <row r="34" spans="1:20" x14ac:dyDescent="0.3">
      <c r="A34" s="26"/>
      <c r="D34" s="32" t="s">
        <v>72</v>
      </c>
      <c r="E34" s="18">
        <v>3.5</v>
      </c>
      <c r="F34" s="18">
        <v>15</v>
      </c>
      <c r="G34" s="32" t="s">
        <v>69</v>
      </c>
      <c r="H34" s="26"/>
      <c r="I34" s="26">
        <v>-7</v>
      </c>
      <c r="J34" s="26">
        <v>-3</v>
      </c>
      <c r="K34" s="26"/>
      <c r="L34" s="26"/>
      <c r="M34" s="31">
        <f t="shared" si="25"/>
        <v>150</v>
      </c>
      <c r="N34" s="31">
        <f t="shared" si="26"/>
        <v>-35</v>
      </c>
      <c r="Q34" s="51"/>
      <c r="R34" s="51"/>
      <c r="S34" s="51"/>
      <c r="T34" s="51"/>
    </row>
    <row r="35" spans="1:20" x14ac:dyDescent="0.3">
      <c r="A35" s="26"/>
      <c r="D35" s="32" t="s">
        <v>72</v>
      </c>
      <c r="E35" s="18">
        <v>3.5</v>
      </c>
      <c r="F35" s="18">
        <v>15</v>
      </c>
      <c r="G35" s="32" t="s">
        <v>69</v>
      </c>
      <c r="H35" s="26"/>
      <c r="I35" s="26">
        <v>-5</v>
      </c>
      <c r="J35" s="26"/>
      <c r="K35" s="26"/>
      <c r="L35" s="26"/>
      <c r="M35" s="31">
        <f>IF(D35="sell",F35*-SUM(I35:K35),0)</f>
        <v>75</v>
      </c>
      <c r="N35" s="31">
        <f t="shared" si="26"/>
        <v>-17.5</v>
      </c>
      <c r="Q35" s="51"/>
      <c r="R35" s="51"/>
      <c r="S35" s="51"/>
      <c r="T35" s="51"/>
    </row>
    <row r="36" spans="1:20" x14ac:dyDescent="0.3">
      <c r="A36" s="26"/>
      <c r="D36" s="32" t="s">
        <v>72</v>
      </c>
      <c r="E36" s="18">
        <v>20</v>
      </c>
      <c r="F36" s="18">
        <v>45</v>
      </c>
      <c r="G36" s="32" t="s">
        <v>71</v>
      </c>
      <c r="H36" s="26"/>
      <c r="I36" s="26"/>
      <c r="J36" s="26"/>
      <c r="K36" s="26">
        <v>-6</v>
      </c>
      <c r="L36" s="26"/>
      <c r="M36" s="31">
        <f t="shared" ref="M36" si="27">IF(D36="sell",F36*-SUM(I36:K36),0)</f>
        <v>270</v>
      </c>
      <c r="N36" s="31">
        <f t="shared" si="26"/>
        <v>-120</v>
      </c>
      <c r="Q36" s="98" t="s">
        <v>80</v>
      </c>
      <c r="R36" s="98"/>
      <c r="S36" s="98"/>
      <c r="T36" s="98"/>
    </row>
    <row r="37" spans="1:20" x14ac:dyDescent="0.3">
      <c r="A37" s="28"/>
      <c r="B37" s="29"/>
      <c r="C37" s="29"/>
      <c r="D37" s="29"/>
      <c r="E37" s="29"/>
      <c r="F37" s="30"/>
      <c r="G37" s="68">
        <f>-SUM(I33:J36)</f>
        <v>25</v>
      </c>
      <c r="H37" s="28"/>
      <c r="I37" s="28">
        <f>SUM(I32:I36)</f>
        <v>13</v>
      </c>
      <c r="J37" s="28">
        <f>SUM(J32:J36)</f>
        <v>7</v>
      </c>
      <c r="K37" s="28">
        <f>SUM(K32:K36)</f>
        <v>1</v>
      </c>
      <c r="L37" s="28"/>
      <c r="M37" s="30">
        <f>SUM(M32:M36)</f>
        <v>6395</v>
      </c>
      <c r="N37" s="30">
        <f>SUM(N32:N36)</f>
        <v>90</v>
      </c>
      <c r="Q37" s="103" t="s">
        <v>55</v>
      </c>
      <c r="R37" s="101" t="s">
        <v>81</v>
      </c>
      <c r="S37" s="101" t="s">
        <v>82</v>
      </c>
      <c r="T37" s="99" t="s">
        <v>83</v>
      </c>
    </row>
    <row r="38" spans="1:20" x14ac:dyDescent="0.3">
      <c r="A38" s="26">
        <v>7</v>
      </c>
      <c r="D38" s="32" t="s">
        <v>72</v>
      </c>
      <c r="E38" s="18">
        <v>3.5</v>
      </c>
      <c r="F38" s="18">
        <v>15</v>
      </c>
      <c r="G38" s="32" t="s">
        <v>69</v>
      </c>
      <c r="H38" s="26"/>
      <c r="I38" s="26">
        <v>-3</v>
      </c>
      <c r="J38" s="26">
        <v>-2</v>
      </c>
      <c r="K38" s="26"/>
      <c r="L38" s="26"/>
      <c r="M38" s="31">
        <f t="shared" ref="M38:M39" si="28">IF(D38="sell",F38*-SUM(I38:K38),0)</f>
        <v>75</v>
      </c>
      <c r="N38" s="31">
        <f>_xlfn.IFS(D38="buy",E38*SUM(I38:K38),D38="sell",E38*SUM(I38:K38),ISBLANK(D38),0)</f>
        <v>-17.5</v>
      </c>
      <c r="Q38" s="104"/>
      <c r="R38" s="102"/>
      <c r="S38" s="102"/>
      <c r="T38" s="100"/>
    </row>
    <row r="39" spans="1:20" x14ac:dyDescent="0.3">
      <c r="A39" s="26"/>
      <c r="D39" s="32" t="s">
        <v>72</v>
      </c>
      <c r="E39" s="18">
        <v>3.5</v>
      </c>
      <c r="F39" s="18">
        <v>15</v>
      </c>
      <c r="G39" s="32" t="s">
        <v>70</v>
      </c>
      <c r="H39" s="26"/>
      <c r="I39" s="26">
        <v>-2</v>
      </c>
      <c r="J39" s="26">
        <v>-2</v>
      </c>
      <c r="K39" s="26"/>
      <c r="L39" s="26"/>
      <c r="M39" s="31">
        <f t="shared" si="28"/>
        <v>60</v>
      </c>
      <c r="N39" s="31">
        <f>_xlfn.IFS(D39="buy",E39*SUM(I39:K39),D39="sell",E39*SUM(I39:K39),ISBLANK(D39),0)</f>
        <v>-14</v>
      </c>
      <c r="Q39" s="65" t="s">
        <v>58</v>
      </c>
      <c r="R39" s="66">
        <v>3.5</v>
      </c>
      <c r="S39" s="66">
        <v>3.5</v>
      </c>
      <c r="T39" s="67">
        <v>20</v>
      </c>
    </row>
    <row r="40" spans="1:20" x14ac:dyDescent="0.3">
      <c r="A40" s="26"/>
      <c r="D40" s="32" t="s">
        <v>72</v>
      </c>
      <c r="E40" s="18">
        <v>3.5</v>
      </c>
      <c r="F40" s="18">
        <v>15</v>
      </c>
      <c r="G40" s="32" t="s">
        <v>70</v>
      </c>
      <c r="H40" s="26"/>
      <c r="I40" s="26">
        <v>-1</v>
      </c>
      <c r="J40" s="26"/>
      <c r="K40" s="26"/>
      <c r="L40" s="26"/>
      <c r="M40" s="31">
        <f>IF(D40="sell",F40*-SUM(I40:K40),0)</f>
        <v>15</v>
      </c>
      <c r="N40" s="31">
        <f>_xlfn.IFS(D40="buy",E40*SUM(I40:K40),D40="sell",E40*SUM(I40:K40),ISBLANK(D40),0)</f>
        <v>-3.5</v>
      </c>
      <c r="Q40" s="42">
        <v>1</v>
      </c>
      <c r="R40" s="46">
        <f>I12*R$39</f>
        <v>525</v>
      </c>
      <c r="S40" s="46">
        <f>J12*S$39</f>
        <v>350</v>
      </c>
      <c r="T40" s="19">
        <f>K12*T$39</f>
        <v>800</v>
      </c>
    </row>
    <row r="41" spans="1:20" x14ac:dyDescent="0.3">
      <c r="A41" s="26"/>
      <c r="D41" s="32" t="s">
        <v>72</v>
      </c>
      <c r="E41" s="18">
        <v>20</v>
      </c>
      <c r="F41" s="18">
        <v>40</v>
      </c>
      <c r="G41" s="32" t="s">
        <v>71</v>
      </c>
      <c r="H41" s="26"/>
      <c r="I41" s="26"/>
      <c r="J41" s="26"/>
      <c r="K41" s="26">
        <v>-1</v>
      </c>
      <c r="L41" s="26"/>
      <c r="M41" s="31">
        <f t="shared" ref="M41" si="29">IF(D41="sell",F41*-SUM(I41:K41),0)</f>
        <v>40</v>
      </c>
      <c r="N41" s="31">
        <f t="shared" ref="N41" si="30">_xlfn.IFS(D41="buy",E41*SUM(I41:K41),D41="sell",E41*SUM(I41:K41),ISBLANK(D41),0)</f>
        <v>-20</v>
      </c>
      <c r="Q41" s="42">
        <v>2</v>
      </c>
      <c r="R41" s="46">
        <f>I17*R$39</f>
        <v>360.5</v>
      </c>
      <c r="S41" s="46">
        <f t="shared" ref="S41" si="31">J17*S$39</f>
        <v>252</v>
      </c>
      <c r="T41" s="19">
        <f>K17*T$39</f>
        <v>800</v>
      </c>
    </row>
    <row r="42" spans="1:20" x14ac:dyDescent="0.3">
      <c r="A42" s="28"/>
      <c r="B42" s="29"/>
      <c r="C42" s="29"/>
      <c r="D42" s="29"/>
      <c r="E42" s="29"/>
      <c r="F42" s="30"/>
      <c r="G42" s="68">
        <f>-SUM(I38:J41)</f>
        <v>10</v>
      </c>
      <c r="H42" s="28"/>
      <c r="I42" s="28">
        <f>SUM(I37:I41)</f>
        <v>7</v>
      </c>
      <c r="J42" s="28">
        <f t="shared" ref="J42" si="32">SUM(J37:J41)</f>
        <v>3</v>
      </c>
      <c r="K42" s="28">
        <f t="shared" ref="K42" si="33">SUM(K37:K41)</f>
        <v>0</v>
      </c>
      <c r="L42" s="28"/>
      <c r="M42" s="30">
        <f>SUM(M37:M41)</f>
        <v>6585</v>
      </c>
      <c r="N42" s="30">
        <f>SUM(N37:N41)</f>
        <v>35</v>
      </c>
      <c r="Q42" s="42">
        <v>3</v>
      </c>
      <c r="R42" s="46">
        <f>I22*R$39</f>
        <v>276.5</v>
      </c>
      <c r="S42" s="46">
        <f t="shared" ref="S42:T42" si="34">J22*S$39</f>
        <v>161</v>
      </c>
      <c r="T42" s="19">
        <f t="shared" si="34"/>
        <v>500</v>
      </c>
    </row>
    <row r="43" spans="1:20" x14ac:dyDescent="0.3">
      <c r="A43" s="26">
        <v>8</v>
      </c>
      <c r="D43" s="32" t="s">
        <v>72</v>
      </c>
      <c r="E43" s="18">
        <v>3.5</v>
      </c>
      <c r="F43" s="18">
        <v>15</v>
      </c>
      <c r="G43" s="32" t="s">
        <v>69</v>
      </c>
      <c r="H43" s="26"/>
      <c r="I43" s="26">
        <v>-4</v>
      </c>
      <c r="J43" s="26">
        <v>-1</v>
      </c>
      <c r="K43" s="26"/>
      <c r="L43" s="26"/>
      <c r="M43" s="31">
        <f t="shared" ref="M43" si="35">IF(D43="sell",F43*-SUM(I43:K43),0)</f>
        <v>75</v>
      </c>
      <c r="N43" s="31">
        <f>_xlfn.IFS(D43="buy",E43*SUM(I43:K43),D43="sell",E43*SUM(I43:K43),ISBLANK(D43),0)</f>
        <v>-17.5</v>
      </c>
      <c r="Q43" s="42">
        <v>4</v>
      </c>
      <c r="R43" s="46">
        <f>I27*R$39</f>
        <v>182</v>
      </c>
      <c r="S43" s="46">
        <f t="shared" ref="S43:T43" si="36">J27*S$39</f>
        <v>80.5</v>
      </c>
      <c r="T43" s="19">
        <f t="shared" si="36"/>
        <v>300</v>
      </c>
    </row>
    <row r="44" spans="1:20" x14ac:dyDescent="0.3">
      <c r="A44" s="26"/>
      <c r="D44" s="32" t="s">
        <v>72</v>
      </c>
      <c r="E44" s="18">
        <v>3.5</v>
      </c>
      <c r="F44" s="18">
        <v>15</v>
      </c>
      <c r="G44" s="32" t="s">
        <v>70</v>
      </c>
      <c r="H44" s="26"/>
      <c r="I44" s="26">
        <v>-1</v>
      </c>
      <c r="J44" s="26">
        <v>-1</v>
      </c>
      <c r="K44" s="26"/>
      <c r="L44" s="26"/>
      <c r="M44" s="31">
        <f>IF(D44="sell",F44*-SUM(I44:K44),0)</f>
        <v>30</v>
      </c>
      <c r="N44" s="31">
        <f>_xlfn.IFS(D44="buy",E44*SUM(I44:K44),D44="sell",E44*SUM(I44:K44),ISBLANK(D44),0)</f>
        <v>-7</v>
      </c>
      <c r="Q44" s="42">
        <v>5</v>
      </c>
      <c r="R44" s="46">
        <f>I32*R$39</f>
        <v>112</v>
      </c>
      <c r="S44" s="46">
        <f t="shared" ref="S44:T44" si="37">J32*S$39</f>
        <v>45.5</v>
      </c>
      <c r="T44" s="19">
        <f t="shared" si="37"/>
        <v>140</v>
      </c>
    </row>
    <row r="45" spans="1:20" x14ac:dyDescent="0.3">
      <c r="A45" s="26"/>
      <c r="D45" s="32" t="s">
        <v>72</v>
      </c>
      <c r="E45" s="18">
        <v>3.5</v>
      </c>
      <c r="F45" s="18">
        <v>15</v>
      </c>
      <c r="G45" s="32" t="s">
        <v>71</v>
      </c>
      <c r="H45" s="26"/>
      <c r="I45" s="26">
        <v>-2</v>
      </c>
      <c r="J45" s="26">
        <v>-1</v>
      </c>
      <c r="K45" s="26"/>
      <c r="L45" s="26"/>
      <c r="M45" s="31">
        <f>IF(D45="sell",F45*-SUM(I45:K45),0)</f>
        <v>45</v>
      </c>
      <c r="N45" s="31">
        <f>_xlfn.IFS(D45="buy",E45*SUM(I45:K45),D45="sell",E45*SUM(I45:K45),ISBLANK(D45),0)</f>
        <v>-10.5</v>
      </c>
      <c r="Q45" s="42">
        <v>6</v>
      </c>
      <c r="R45" s="46">
        <f>I37*R$39</f>
        <v>45.5</v>
      </c>
      <c r="S45" s="46">
        <f t="shared" ref="S45:T45" si="38">J37*S$39</f>
        <v>24.5</v>
      </c>
      <c r="T45" s="19">
        <f t="shared" si="38"/>
        <v>20</v>
      </c>
    </row>
    <row r="46" spans="1:20" x14ac:dyDescent="0.3">
      <c r="A46" s="26"/>
      <c r="D46" s="32"/>
      <c r="E46" s="18"/>
      <c r="F46" s="18"/>
      <c r="G46" s="32"/>
      <c r="H46" s="26"/>
      <c r="I46" s="26"/>
      <c r="J46" s="26"/>
      <c r="K46" s="26"/>
      <c r="L46" s="26"/>
      <c r="M46" s="31">
        <f t="shared" ref="M46" si="39">IF(D46="sell",F46*-SUM(I46:K46),0)</f>
        <v>0</v>
      </c>
      <c r="N46" s="31">
        <f t="shared" ref="N46" si="40">_xlfn.IFS(D46="buy",E46*SUM(I46:K46),D46="sell",E46*SUM(I46:K46),ISBLANK(D46),0)</f>
        <v>0</v>
      </c>
      <c r="Q46" s="42">
        <v>7</v>
      </c>
      <c r="R46" s="46">
        <f>I42*R$39</f>
        <v>24.5</v>
      </c>
      <c r="S46" s="46">
        <f t="shared" ref="S46:T46" si="41">J42*S$39</f>
        <v>10.5</v>
      </c>
      <c r="T46" s="19">
        <f t="shared" si="41"/>
        <v>0</v>
      </c>
    </row>
    <row r="47" spans="1:20" x14ac:dyDescent="0.3">
      <c r="A47" s="28"/>
      <c r="B47" s="29"/>
      <c r="C47" s="29"/>
      <c r="D47" s="29"/>
      <c r="E47" s="29"/>
      <c r="F47" s="30"/>
      <c r="G47" s="68">
        <f>-SUM(I43:J46)</f>
        <v>10</v>
      </c>
      <c r="H47" s="28"/>
      <c r="I47" s="28">
        <f>SUM(I42:I46)</f>
        <v>0</v>
      </c>
      <c r="J47" s="28">
        <f t="shared" ref="J47" si="42">SUM(J42:J46)</f>
        <v>0</v>
      </c>
      <c r="K47" s="28">
        <f t="shared" ref="K47" si="43">SUM(K42:K46)</f>
        <v>0</v>
      </c>
      <c r="L47" s="28"/>
      <c r="M47" s="30">
        <f>SUM(M42:M46)</f>
        <v>6735</v>
      </c>
      <c r="N47" s="30">
        <f>SUM(N42:N46)</f>
        <v>0</v>
      </c>
      <c r="Q47" s="42">
        <v>8</v>
      </c>
      <c r="R47" s="46">
        <f>I47*R$39</f>
        <v>0</v>
      </c>
      <c r="S47" s="46">
        <f t="shared" ref="S47:T48" si="44">J47*S$39</f>
        <v>0</v>
      </c>
      <c r="T47" s="19">
        <f t="shared" si="44"/>
        <v>0</v>
      </c>
    </row>
    <row r="48" spans="1:20" x14ac:dyDescent="0.3">
      <c r="A48" s="25" t="s">
        <v>79</v>
      </c>
      <c r="B48" s="24"/>
      <c r="C48" s="24"/>
      <c r="D48" s="47"/>
      <c r="E48" s="48"/>
      <c r="F48" s="48"/>
      <c r="G48" s="47"/>
      <c r="H48" s="25"/>
      <c r="I48" s="25">
        <f>I47</f>
        <v>0</v>
      </c>
      <c r="J48" s="25">
        <f>J47</f>
        <v>0</v>
      </c>
      <c r="K48" s="25">
        <f>K47</f>
        <v>0</v>
      </c>
      <c r="L48" s="25"/>
      <c r="M48" s="49">
        <f>M47</f>
        <v>6735</v>
      </c>
      <c r="N48" s="49">
        <f>N47</f>
        <v>0</v>
      </c>
      <c r="Q48" s="43" t="s">
        <v>84</v>
      </c>
      <c r="R48" s="44">
        <f>I48*R$39</f>
        <v>0</v>
      </c>
      <c r="S48" s="44">
        <f t="shared" si="44"/>
        <v>0</v>
      </c>
      <c r="T48" s="45">
        <f t="shared" si="44"/>
        <v>0</v>
      </c>
    </row>
    <row r="50" spans="1:14" x14ac:dyDescent="0.3">
      <c r="A50" s="26"/>
      <c r="D50" s="32"/>
      <c r="E50" s="18"/>
      <c r="F50" s="18"/>
      <c r="G50" s="32"/>
      <c r="H50" s="26"/>
      <c r="I50" s="26"/>
      <c r="J50" s="26"/>
      <c r="K50" s="26"/>
      <c r="L50" s="26"/>
      <c r="M50" s="31"/>
      <c r="N50" s="31"/>
    </row>
    <row r="51" spans="1:14" x14ac:dyDescent="0.3">
      <c r="A51" s="26"/>
      <c r="D51" s="32"/>
      <c r="E51" s="18"/>
      <c r="F51" s="18"/>
      <c r="G51" s="32"/>
      <c r="H51" s="26"/>
      <c r="I51" s="26"/>
      <c r="J51" s="26"/>
      <c r="K51" s="26"/>
      <c r="L51" s="26"/>
      <c r="M51" s="31"/>
      <c r="N51" s="31"/>
    </row>
    <row r="52" spans="1:14" x14ac:dyDescent="0.3">
      <c r="A52" s="34"/>
      <c r="B52" s="35"/>
      <c r="C52" s="35"/>
      <c r="D52" s="35"/>
      <c r="E52" s="35"/>
      <c r="F52" s="36"/>
      <c r="G52" s="36"/>
      <c r="H52" s="34"/>
      <c r="I52" s="34"/>
      <c r="J52" s="34"/>
      <c r="K52" s="34"/>
      <c r="L52" s="34"/>
      <c r="M52" s="35"/>
      <c r="N52" s="35"/>
    </row>
    <row r="53" spans="1:14" x14ac:dyDescent="0.3">
      <c r="A53" s="37"/>
      <c r="B53" s="38"/>
      <c r="C53" s="38"/>
      <c r="D53" s="39"/>
      <c r="E53" s="40"/>
      <c r="F53" s="40"/>
      <c r="G53" s="39"/>
      <c r="H53" s="37"/>
      <c r="I53" s="37"/>
      <c r="J53" s="37"/>
      <c r="K53" s="37"/>
      <c r="L53" s="37"/>
      <c r="M53" s="41"/>
      <c r="N53" s="41"/>
    </row>
    <row r="54" spans="1:14" x14ac:dyDescent="0.3">
      <c r="A54" s="37"/>
      <c r="B54" s="38"/>
      <c r="C54" s="38"/>
      <c r="D54" s="39"/>
      <c r="E54" s="40"/>
      <c r="F54" s="40"/>
      <c r="G54" s="39"/>
      <c r="H54" s="37"/>
      <c r="I54" s="37"/>
      <c r="J54" s="37"/>
      <c r="K54" s="37"/>
      <c r="L54" s="37"/>
      <c r="M54" s="41"/>
      <c r="N54" s="41"/>
    </row>
    <row r="55" spans="1:14" x14ac:dyDescent="0.3">
      <c r="A55" s="37"/>
      <c r="B55" s="38"/>
      <c r="C55" s="38"/>
      <c r="D55" s="39"/>
      <c r="E55" s="40"/>
      <c r="F55" s="40"/>
      <c r="G55" s="39"/>
      <c r="H55" s="37"/>
      <c r="I55" s="37"/>
      <c r="J55" s="37"/>
      <c r="K55" s="37"/>
      <c r="L55" s="37"/>
      <c r="M55" s="41"/>
      <c r="N55" s="41"/>
    </row>
    <row r="56" spans="1:14" x14ac:dyDescent="0.3">
      <c r="A56" s="37"/>
      <c r="B56" s="38"/>
      <c r="C56" s="38"/>
      <c r="D56" s="39"/>
      <c r="E56" s="40"/>
      <c r="F56" s="40"/>
      <c r="G56" s="39"/>
      <c r="H56" s="37"/>
      <c r="I56" s="37"/>
      <c r="J56" s="37"/>
      <c r="K56" s="37"/>
      <c r="L56" s="37"/>
      <c r="M56" s="41"/>
      <c r="N56" s="41"/>
    </row>
    <row r="57" spans="1:14" x14ac:dyDescent="0.3">
      <c r="A57" s="34"/>
      <c r="B57" s="35"/>
      <c r="C57" s="35"/>
      <c r="D57" s="35"/>
      <c r="E57" s="35"/>
      <c r="F57" s="36"/>
      <c r="G57" s="36"/>
      <c r="H57" s="34"/>
      <c r="I57" s="34"/>
      <c r="J57" s="34"/>
      <c r="K57" s="34"/>
      <c r="L57" s="34"/>
      <c r="M57" s="35"/>
      <c r="N57" s="35"/>
    </row>
    <row r="58" spans="1:14" x14ac:dyDescent="0.3">
      <c r="A58" s="26"/>
      <c r="F58" s="18"/>
      <c r="G58" s="18"/>
      <c r="H58" s="26"/>
      <c r="J58" s="26"/>
      <c r="K58" s="26"/>
      <c r="L58" s="26"/>
    </row>
    <row r="59" spans="1:14" x14ac:dyDescent="0.3">
      <c r="A59" s="26"/>
      <c r="F59" s="18"/>
      <c r="G59" s="18"/>
      <c r="H59" s="26"/>
      <c r="J59" s="26"/>
      <c r="K59" s="26"/>
      <c r="L59" s="26"/>
    </row>
    <row r="60" spans="1:14" x14ac:dyDescent="0.3">
      <c r="A60" s="26"/>
      <c r="F60" s="18"/>
      <c r="G60" s="18"/>
      <c r="H60" s="26"/>
      <c r="J60" s="26"/>
      <c r="K60" s="26"/>
      <c r="L60" s="26"/>
    </row>
    <row r="61" spans="1:14" x14ac:dyDescent="0.3">
      <c r="A61" s="26"/>
      <c r="F61" s="18"/>
      <c r="G61" s="18"/>
      <c r="H61" s="26"/>
      <c r="J61" s="26"/>
      <c r="K61" s="26"/>
      <c r="L61" s="26"/>
    </row>
    <row r="62" spans="1:14" x14ac:dyDescent="0.3">
      <c r="A62" s="26"/>
      <c r="F62" s="18"/>
      <c r="G62" s="18"/>
      <c r="H62" s="26"/>
      <c r="J62" s="26"/>
      <c r="K62" s="26"/>
      <c r="L62" s="26"/>
    </row>
    <row r="63" spans="1:14" x14ac:dyDescent="0.3">
      <c r="A63" s="26"/>
      <c r="F63" s="18"/>
      <c r="G63" s="18"/>
      <c r="H63" s="26"/>
      <c r="J63" s="26"/>
      <c r="K63" s="26"/>
      <c r="L63" s="26"/>
    </row>
    <row r="64" spans="1:14" x14ac:dyDescent="0.3">
      <c r="A64" s="26"/>
      <c r="F64" s="18"/>
      <c r="G64" s="18"/>
      <c r="H64" s="26"/>
      <c r="J64" s="26"/>
      <c r="K64" s="26"/>
      <c r="L64" s="26"/>
    </row>
    <row r="65" spans="1:12" x14ac:dyDescent="0.3">
      <c r="A65" s="26"/>
      <c r="F65" s="18"/>
      <c r="G65" s="18"/>
      <c r="H65" s="26"/>
      <c r="J65" s="26"/>
      <c r="K65" s="26"/>
      <c r="L65" s="26"/>
    </row>
    <row r="66" spans="1:12" x14ac:dyDescent="0.3">
      <c r="A66" s="26"/>
      <c r="F66" s="18"/>
      <c r="G66" s="18"/>
      <c r="H66" s="26"/>
      <c r="J66" s="26"/>
      <c r="K66" s="26"/>
      <c r="L66" s="26"/>
    </row>
    <row r="67" spans="1:12" x14ac:dyDescent="0.3">
      <c r="A67" s="26"/>
      <c r="F67" s="18"/>
      <c r="G67" s="18"/>
      <c r="H67" s="26"/>
      <c r="J67" s="26"/>
      <c r="K67" s="26"/>
      <c r="L67" s="26"/>
    </row>
    <row r="68" spans="1:12" x14ac:dyDescent="0.3">
      <c r="A68" s="26"/>
      <c r="F68" s="18"/>
      <c r="G68" s="18"/>
      <c r="H68" s="26"/>
      <c r="J68" s="26"/>
      <c r="K68" s="26"/>
      <c r="L68" s="26"/>
    </row>
    <row r="69" spans="1:12" x14ac:dyDescent="0.3">
      <c r="A69" s="26"/>
      <c r="F69" s="18"/>
      <c r="G69" s="18"/>
      <c r="H69" s="26"/>
      <c r="J69" s="26"/>
      <c r="K69" s="26"/>
      <c r="L69" s="26"/>
    </row>
    <row r="70" spans="1:12" x14ac:dyDescent="0.3">
      <c r="A70" s="26"/>
      <c r="F70" s="18"/>
      <c r="G70" s="18"/>
      <c r="H70" s="26"/>
      <c r="J70" s="26"/>
      <c r="K70" s="26"/>
      <c r="L70" s="26"/>
    </row>
    <row r="71" spans="1:12" x14ac:dyDescent="0.3">
      <c r="A71" s="26"/>
      <c r="F71" s="18"/>
      <c r="G71" s="18"/>
      <c r="H71" s="26"/>
      <c r="J71" s="26"/>
      <c r="K71" s="26"/>
      <c r="L71" s="26"/>
    </row>
    <row r="72" spans="1:12" x14ac:dyDescent="0.3">
      <c r="A72" s="26"/>
      <c r="F72" s="18"/>
      <c r="G72" s="18"/>
      <c r="H72" s="26"/>
      <c r="J72" s="26"/>
      <c r="K72" s="26"/>
      <c r="L72" s="26"/>
    </row>
    <row r="73" spans="1:12" x14ac:dyDescent="0.3">
      <c r="A73" s="26"/>
      <c r="F73" s="18"/>
      <c r="G73" s="18"/>
      <c r="H73" s="26"/>
      <c r="J73" s="26"/>
      <c r="K73" s="26"/>
      <c r="L73" s="26"/>
    </row>
    <row r="74" spans="1:12" x14ac:dyDescent="0.3">
      <c r="A74" s="26"/>
      <c r="F74" s="18"/>
      <c r="G74" s="18"/>
      <c r="H74" s="26"/>
      <c r="J74" s="26"/>
      <c r="K74" s="26"/>
      <c r="L74" s="26"/>
    </row>
    <row r="75" spans="1:12" x14ac:dyDescent="0.3">
      <c r="A75" s="26"/>
      <c r="F75" s="18"/>
      <c r="G75" s="18"/>
      <c r="H75" s="26"/>
      <c r="J75" s="26"/>
      <c r="K75" s="26"/>
      <c r="L75" s="26"/>
    </row>
    <row r="76" spans="1:12" x14ac:dyDescent="0.3">
      <c r="A76" s="26"/>
      <c r="F76" s="18"/>
      <c r="G76" s="18"/>
      <c r="H76" s="26"/>
      <c r="J76" s="26"/>
      <c r="K76" s="26"/>
      <c r="L76" s="26"/>
    </row>
    <row r="77" spans="1:12" x14ac:dyDescent="0.3">
      <c r="A77" s="26"/>
      <c r="F77" s="18"/>
      <c r="G77" s="18"/>
      <c r="H77" s="26"/>
      <c r="J77" s="26"/>
      <c r="K77" s="26"/>
      <c r="L77" s="26"/>
    </row>
    <row r="78" spans="1:12" x14ac:dyDescent="0.3">
      <c r="A78" s="26"/>
      <c r="F78" s="18"/>
      <c r="G78" s="18"/>
      <c r="H78" s="26"/>
      <c r="J78" s="26"/>
      <c r="K78" s="26"/>
      <c r="L78" s="26"/>
    </row>
    <row r="79" spans="1:12" x14ac:dyDescent="0.3">
      <c r="A79" s="26"/>
      <c r="F79" s="18"/>
      <c r="G79" s="18"/>
      <c r="H79" s="26"/>
      <c r="J79" s="26"/>
      <c r="K79" s="26"/>
      <c r="L79" s="26"/>
    </row>
    <row r="80" spans="1:12" x14ac:dyDescent="0.3">
      <c r="A80" s="26"/>
      <c r="F80" s="18"/>
      <c r="G80" s="18"/>
      <c r="H80" s="26"/>
      <c r="J80" s="26"/>
      <c r="K80" s="26"/>
      <c r="L80" s="26"/>
    </row>
    <row r="81" spans="1:12" x14ac:dyDescent="0.3">
      <c r="A81" s="26"/>
      <c r="F81" s="18"/>
      <c r="G81" s="18"/>
      <c r="H81" s="26"/>
      <c r="J81" s="26"/>
      <c r="K81" s="26"/>
      <c r="L81" s="26"/>
    </row>
    <row r="82" spans="1:12" x14ac:dyDescent="0.3">
      <c r="A82" s="26"/>
      <c r="F82" s="18"/>
      <c r="G82" s="18"/>
      <c r="H82" s="26"/>
      <c r="J82" s="26"/>
      <c r="K82" s="26"/>
      <c r="L82" s="26"/>
    </row>
    <row r="83" spans="1:12" x14ac:dyDescent="0.3">
      <c r="A83" s="26"/>
      <c r="F83" s="18"/>
      <c r="G83" s="18"/>
      <c r="H83" s="26"/>
      <c r="J83" s="26"/>
      <c r="K83" s="26"/>
      <c r="L83" s="26"/>
    </row>
    <row r="84" spans="1:12" x14ac:dyDescent="0.3">
      <c r="A84" s="26"/>
      <c r="F84" s="18"/>
      <c r="G84" s="18"/>
      <c r="H84" s="26"/>
      <c r="J84" s="26"/>
      <c r="K84" s="26"/>
      <c r="L84" s="26"/>
    </row>
    <row r="85" spans="1:12" x14ac:dyDescent="0.3">
      <c r="A85" s="26"/>
      <c r="F85" s="18"/>
      <c r="G85" s="18"/>
      <c r="H85" s="26"/>
      <c r="J85" s="26"/>
      <c r="K85" s="26"/>
      <c r="L85" s="26"/>
    </row>
    <row r="86" spans="1:12" x14ac:dyDescent="0.3">
      <c r="A86" s="26"/>
      <c r="F86" s="18"/>
      <c r="G86" s="18"/>
      <c r="H86" s="26"/>
      <c r="J86" s="26"/>
      <c r="K86" s="26"/>
      <c r="L86" s="26"/>
    </row>
    <row r="87" spans="1:12" x14ac:dyDescent="0.3">
      <c r="A87" s="26"/>
      <c r="F87" s="18"/>
      <c r="G87" s="18"/>
      <c r="H87" s="26"/>
      <c r="J87" s="26"/>
      <c r="K87" s="26"/>
      <c r="L87" s="26"/>
    </row>
    <row r="88" spans="1:12" x14ac:dyDescent="0.3">
      <c r="A88" s="26"/>
      <c r="F88" s="18"/>
      <c r="G88" s="18"/>
      <c r="H88" s="26"/>
      <c r="J88" s="26"/>
      <c r="K88" s="26"/>
      <c r="L88" s="26"/>
    </row>
    <row r="89" spans="1:12" x14ac:dyDescent="0.3">
      <c r="A89" s="26"/>
      <c r="F89" s="18"/>
      <c r="G89" s="18"/>
      <c r="H89" s="26"/>
      <c r="J89" s="26"/>
      <c r="K89" s="26"/>
      <c r="L89" s="26"/>
    </row>
    <row r="90" spans="1:12" x14ac:dyDescent="0.3">
      <c r="A90" s="26"/>
      <c r="F90" s="18"/>
      <c r="G90" s="18"/>
      <c r="H90" s="26"/>
      <c r="J90" s="26"/>
      <c r="K90" s="26"/>
      <c r="L90" s="26"/>
    </row>
    <row r="91" spans="1:12" x14ac:dyDescent="0.3">
      <c r="A91" s="26"/>
      <c r="F91" s="18"/>
      <c r="G91" s="18"/>
      <c r="H91" s="26"/>
      <c r="J91" s="26"/>
      <c r="K91" s="26"/>
      <c r="L91" s="26"/>
    </row>
    <row r="92" spans="1:12" x14ac:dyDescent="0.3">
      <c r="A92" s="26"/>
      <c r="F92" s="18"/>
      <c r="G92" s="18"/>
      <c r="H92" s="26"/>
      <c r="J92" s="26"/>
      <c r="K92" s="26"/>
      <c r="L92" s="26"/>
    </row>
    <row r="93" spans="1:12" x14ac:dyDescent="0.3">
      <c r="A93" s="26"/>
      <c r="F93" s="18"/>
      <c r="G93" s="18"/>
      <c r="H93" s="26"/>
      <c r="J93" s="26"/>
      <c r="K93" s="26"/>
      <c r="L93" s="26"/>
    </row>
    <row r="94" spans="1:12" x14ac:dyDescent="0.3">
      <c r="A94" s="26"/>
      <c r="F94" s="18"/>
      <c r="G94" s="18"/>
      <c r="H94" s="26"/>
      <c r="J94" s="26"/>
      <c r="K94" s="26"/>
      <c r="L94" s="26"/>
    </row>
    <row r="95" spans="1:12" x14ac:dyDescent="0.3">
      <c r="A95" s="26"/>
      <c r="F95" s="18"/>
      <c r="G95" s="18"/>
      <c r="H95" s="26"/>
      <c r="J95" s="26"/>
      <c r="K95" s="26"/>
      <c r="L95" s="26"/>
    </row>
    <row r="96" spans="1:12" x14ac:dyDescent="0.3">
      <c r="A96" s="26"/>
      <c r="F96" s="18"/>
      <c r="G96" s="18"/>
      <c r="H96" s="26"/>
      <c r="J96" s="26"/>
      <c r="K96" s="26"/>
      <c r="L96" s="26"/>
    </row>
    <row r="97" spans="1:12" x14ac:dyDescent="0.3">
      <c r="A97" s="26"/>
      <c r="F97" s="18"/>
      <c r="G97" s="18"/>
      <c r="H97" s="26"/>
      <c r="J97" s="26"/>
      <c r="K97" s="26"/>
      <c r="L97" s="26"/>
    </row>
    <row r="98" spans="1:12" x14ac:dyDescent="0.3">
      <c r="A98" s="26"/>
      <c r="F98" s="18"/>
      <c r="G98" s="18"/>
      <c r="H98" s="26"/>
      <c r="J98" s="26"/>
      <c r="K98" s="26"/>
      <c r="L98" s="26"/>
    </row>
    <row r="99" spans="1:12" x14ac:dyDescent="0.3">
      <c r="A99" s="26"/>
      <c r="F99" s="18"/>
      <c r="G99" s="18"/>
      <c r="H99" s="26"/>
      <c r="J99" s="26"/>
      <c r="K99" s="26"/>
      <c r="L99" s="26"/>
    </row>
    <row r="100" spans="1:12" x14ac:dyDescent="0.3">
      <c r="A100" s="26"/>
      <c r="F100" s="18"/>
      <c r="G100" s="18"/>
      <c r="H100" s="26"/>
      <c r="J100" s="26"/>
      <c r="K100" s="26"/>
      <c r="L100" s="26"/>
    </row>
    <row r="101" spans="1:12" x14ac:dyDescent="0.3">
      <c r="A101" s="26"/>
      <c r="F101" s="18"/>
      <c r="G101" s="18"/>
      <c r="H101" s="26"/>
      <c r="J101" s="26"/>
      <c r="K101" s="26"/>
      <c r="L101" s="26"/>
    </row>
    <row r="102" spans="1:12" x14ac:dyDescent="0.3">
      <c r="A102" s="26"/>
      <c r="F102" s="18"/>
      <c r="G102" s="18"/>
      <c r="H102" s="26"/>
      <c r="J102" s="26"/>
      <c r="K102" s="26"/>
      <c r="L102" s="26"/>
    </row>
    <row r="103" spans="1:12" x14ac:dyDescent="0.3">
      <c r="A103" s="26"/>
      <c r="F103" s="18"/>
      <c r="G103" s="18"/>
      <c r="H103" s="26"/>
      <c r="J103" s="26"/>
      <c r="K103" s="26"/>
      <c r="L103" s="26"/>
    </row>
    <row r="104" spans="1:12" x14ac:dyDescent="0.3">
      <c r="A104" s="26"/>
      <c r="F104" s="18"/>
      <c r="G104" s="18"/>
      <c r="H104" s="26"/>
      <c r="J104" s="26"/>
      <c r="K104" s="26"/>
      <c r="L104" s="26"/>
    </row>
    <row r="105" spans="1:12" x14ac:dyDescent="0.3">
      <c r="A105" s="26"/>
      <c r="F105" s="18"/>
      <c r="G105" s="18"/>
      <c r="H105" s="26"/>
      <c r="J105" s="26"/>
      <c r="K105" s="26"/>
      <c r="L105" s="26"/>
    </row>
    <row r="106" spans="1:12" x14ac:dyDescent="0.3">
      <c r="A106" s="26"/>
      <c r="F106" s="18"/>
      <c r="G106" s="18"/>
      <c r="H106" s="26"/>
      <c r="J106" s="26"/>
      <c r="K106" s="26"/>
      <c r="L106" s="26"/>
    </row>
    <row r="107" spans="1:12" x14ac:dyDescent="0.3">
      <c r="A107" s="26"/>
      <c r="F107" s="18"/>
      <c r="G107" s="18"/>
      <c r="H107" s="26"/>
      <c r="J107" s="26"/>
      <c r="K107" s="26"/>
      <c r="L107" s="26"/>
    </row>
    <row r="108" spans="1:12" x14ac:dyDescent="0.3">
      <c r="A108" s="26"/>
      <c r="F108" s="18"/>
      <c r="G108" s="18"/>
      <c r="H108" s="26"/>
      <c r="J108" s="26"/>
      <c r="K108" s="26"/>
      <c r="L108" s="26"/>
    </row>
    <row r="109" spans="1:12" x14ac:dyDescent="0.3">
      <c r="A109" s="26"/>
      <c r="F109" s="18"/>
      <c r="G109" s="18"/>
      <c r="H109" s="26"/>
      <c r="J109" s="26"/>
      <c r="K109" s="26"/>
      <c r="L109" s="26"/>
    </row>
    <row r="110" spans="1:12" x14ac:dyDescent="0.3">
      <c r="A110" s="26"/>
      <c r="F110" s="18"/>
      <c r="G110" s="18"/>
      <c r="H110" s="26"/>
      <c r="J110" s="26"/>
      <c r="K110" s="26"/>
      <c r="L110" s="26"/>
    </row>
    <row r="111" spans="1:12" x14ac:dyDescent="0.3">
      <c r="A111" s="26"/>
      <c r="F111" s="18"/>
      <c r="G111" s="18"/>
      <c r="H111" s="26"/>
      <c r="J111" s="26"/>
      <c r="K111" s="26"/>
      <c r="L111" s="26"/>
    </row>
    <row r="112" spans="1:12" x14ac:dyDescent="0.3">
      <c r="A112" s="26"/>
      <c r="F112" s="18"/>
      <c r="G112" s="18"/>
      <c r="H112" s="26"/>
      <c r="J112" s="26"/>
      <c r="K112" s="26"/>
      <c r="L112" s="26"/>
    </row>
    <row r="113" spans="1:12" x14ac:dyDescent="0.3">
      <c r="A113" s="26"/>
      <c r="F113" s="18"/>
      <c r="G113" s="18"/>
      <c r="H113" s="26"/>
      <c r="J113" s="26"/>
      <c r="K113" s="26"/>
      <c r="L113" s="26"/>
    </row>
    <row r="114" spans="1:12" x14ac:dyDescent="0.3">
      <c r="A114" s="26"/>
      <c r="F114" s="18"/>
      <c r="G114" s="18"/>
      <c r="H114" s="26"/>
      <c r="J114" s="26"/>
      <c r="K114" s="26"/>
      <c r="L114" s="26"/>
    </row>
    <row r="115" spans="1:12" x14ac:dyDescent="0.3">
      <c r="A115" s="26"/>
      <c r="F115" s="18"/>
      <c r="G115" s="18"/>
      <c r="H115" s="26"/>
      <c r="J115" s="26"/>
      <c r="K115" s="26"/>
      <c r="L115" s="26"/>
    </row>
    <row r="116" spans="1:12" x14ac:dyDescent="0.3">
      <c r="A116" s="26"/>
      <c r="F116" s="18"/>
      <c r="G116" s="18"/>
      <c r="H116" s="26"/>
      <c r="J116" s="26"/>
      <c r="K116" s="26"/>
      <c r="L116" s="26"/>
    </row>
    <row r="117" spans="1:12" x14ac:dyDescent="0.3">
      <c r="A117" s="26"/>
      <c r="F117" s="18"/>
      <c r="G117" s="18"/>
      <c r="H117" s="26"/>
      <c r="J117" s="26"/>
      <c r="K117" s="26"/>
      <c r="L117" s="26"/>
    </row>
    <row r="118" spans="1:12" x14ac:dyDescent="0.3">
      <c r="A118" s="26"/>
      <c r="F118" s="18"/>
      <c r="G118" s="18"/>
      <c r="H118" s="26"/>
      <c r="J118" s="26"/>
      <c r="K118" s="26"/>
      <c r="L118" s="26"/>
    </row>
    <row r="119" spans="1:12" x14ac:dyDescent="0.3">
      <c r="A119" s="26"/>
      <c r="F119" s="18"/>
      <c r="G119" s="18"/>
      <c r="H119" s="26"/>
      <c r="J119" s="26"/>
      <c r="K119" s="26"/>
      <c r="L119" s="26"/>
    </row>
    <row r="120" spans="1:12" x14ac:dyDescent="0.3">
      <c r="A120" s="26"/>
      <c r="F120" s="18"/>
      <c r="G120" s="18"/>
      <c r="H120" s="26"/>
      <c r="J120" s="26"/>
      <c r="K120" s="26"/>
      <c r="L120" s="26"/>
    </row>
    <row r="121" spans="1:12" x14ac:dyDescent="0.3">
      <c r="A121" s="26"/>
      <c r="F121" s="18"/>
      <c r="G121" s="18"/>
      <c r="H121" s="26"/>
      <c r="J121" s="26"/>
      <c r="K121" s="26"/>
      <c r="L121" s="26"/>
    </row>
    <row r="122" spans="1:12" x14ac:dyDescent="0.3">
      <c r="A122" s="26"/>
      <c r="F122" s="18"/>
      <c r="G122" s="18"/>
      <c r="H122" s="26"/>
      <c r="J122" s="26"/>
      <c r="K122" s="26"/>
      <c r="L122" s="26"/>
    </row>
    <row r="123" spans="1:12" x14ac:dyDescent="0.3">
      <c r="A123" s="26"/>
      <c r="F123" s="18"/>
      <c r="G123" s="18"/>
      <c r="H123" s="26"/>
      <c r="J123" s="26"/>
      <c r="K123" s="26"/>
      <c r="L123" s="26"/>
    </row>
    <row r="124" spans="1:12" x14ac:dyDescent="0.3">
      <c r="A124" s="26"/>
      <c r="F124" s="18"/>
      <c r="G124" s="18"/>
      <c r="H124" s="26"/>
      <c r="J124" s="26"/>
      <c r="K124" s="26"/>
      <c r="L124" s="26"/>
    </row>
    <row r="125" spans="1:12" x14ac:dyDescent="0.3">
      <c r="A125" s="26"/>
      <c r="F125" s="18"/>
      <c r="G125" s="18"/>
      <c r="H125" s="26"/>
      <c r="J125" s="26"/>
      <c r="K125" s="26"/>
      <c r="L125" s="26"/>
    </row>
    <row r="126" spans="1:12" x14ac:dyDescent="0.3">
      <c r="A126" s="26"/>
      <c r="F126" s="18"/>
      <c r="G126" s="18"/>
      <c r="H126" s="26"/>
      <c r="J126" s="26"/>
      <c r="K126" s="26"/>
      <c r="L126" s="26"/>
    </row>
    <row r="127" spans="1:12" x14ac:dyDescent="0.3">
      <c r="A127" s="26"/>
      <c r="F127" s="18"/>
      <c r="G127" s="18"/>
      <c r="H127" s="26"/>
      <c r="J127" s="26"/>
      <c r="K127" s="26"/>
      <c r="L127" s="26"/>
    </row>
    <row r="128" spans="1:12" x14ac:dyDescent="0.3">
      <c r="A128" s="26"/>
      <c r="F128" s="18"/>
      <c r="G128" s="18"/>
      <c r="H128" s="26"/>
      <c r="J128" s="26"/>
      <c r="K128" s="26"/>
      <c r="L128" s="26"/>
    </row>
    <row r="129" spans="1:12" x14ac:dyDescent="0.3">
      <c r="A129" s="26"/>
      <c r="F129" s="18"/>
      <c r="G129" s="18"/>
      <c r="H129" s="26"/>
      <c r="J129" s="26"/>
      <c r="K129" s="26"/>
      <c r="L129" s="26"/>
    </row>
    <row r="130" spans="1:12" x14ac:dyDescent="0.3">
      <c r="A130" s="26"/>
      <c r="F130" s="18"/>
      <c r="G130" s="18"/>
      <c r="H130" s="26"/>
      <c r="J130" s="26"/>
      <c r="K130" s="26"/>
      <c r="L130" s="26"/>
    </row>
    <row r="131" spans="1:12" x14ac:dyDescent="0.3">
      <c r="A131" s="26"/>
      <c r="F131" s="18"/>
      <c r="G131" s="18"/>
      <c r="H131" s="26"/>
      <c r="J131" s="26"/>
      <c r="K131" s="26"/>
      <c r="L131" s="26"/>
    </row>
    <row r="132" spans="1:12" x14ac:dyDescent="0.3">
      <c r="A132" s="26"/>
      <c r="F132" s="18"/>
      <c r="G132" s="18"/>
      <c r="H132" s="26"/>
      <c r="J132" s="26"/>
      <c r="K132" s="26"/>
      <c r="L132" s="26"/>
    </row>
    <row r="133" spans="1:12" x14ac:dyDescent="0.3">
      <c r="A133" s="26"/>
      <c r="F133" s="18"/>
      <c r="G133" s="18"/>
      <c r="H133" s="26"/>
      <c r="J133" s="26"/>
      <c r="K133" s="26"/>
      <c r="L133" s="26"/>
    </row>
    <row r="134" spans="1:12" x14ac:dyDescent="0.3">
      <c r="A134" s="26"/>
      <c r="F134" s="18"/>
      <c r="G134" s="18"/>
      <c r="J134" s="26"/>
      <c r="K134" s="26"/>
      <c r="L134" s="26"/>
    </row>
    <row r="135" spans="1:12" x14ac:dyDescent="0.3">
      <c r="A135" s="26"/>
      <c r="F135" s="18"/>
      <c r="G135" s="18"/>
      <c r="J135" s="26"/>
      <c r="K135" s="26"/>
      <c r="L135" s="26"/>
    </row>
    <row r="136" spans="1:12" x14ac:dyDescent="0.3">
      <c r="A136" s="26"/>
      <c r="F136" s="18"/>
      <c r="G136" s="18"/>
      <c r="J136" s="26"/>
      <c r="K136" s="26"/>
      <c r="L136" s="26"/>
    </row>
    <row r="137" spans="1:12" x14ac:dyDescent="0.3">
      <c r="F137" s="18"/>
      <c r="G137" s="18"/>
      <c r="J137" s="26"/>
      <c r="K137" s="26"/>
      <c r="L137" s="26"/>
    </row>
    <row r="138" spans="1:12" x14ac:dyDescent="0.3">
      <c r="F138" s="18"/>
      <c r="G138" s="18"/>
      <c r="J138" s="26"/>
      <c r="K138" s="26"/>
      <c r="L138" s="26"/>
    </row>
    <row r="139" spans="1:12" x14ac:dyDescent="0.3">
      <c r="F139" s="18"/>
      <c r="G139" s="18"/>
      <c r="J139" s="26"/>
      <c r="K139" s="26"/>
      <c r="L139" s="26"/>
    </row>
    <row r="140" spans="1:12" x14ac:dyDescent="0.3">
      <c r="J140" s="26"/>
      <c r="K140" s="26"/>
      <c r="L140" s="26"/>
    </row>
    <row r="141" spans="1:12" x14ac:dyDescent="0.3">
      <c r="J141" s="26"/>
      <c r="K141" s="26"/>
      <c r="L141" s="26"/>
    </row>
    <row r="142" spans="1:12" x14ac:dyDescent="0.3">
      <c r="J142" s="26"/>
      <c r="K142" s="26"/>
      <c r="L142" s="26"/>
    </row>
    <row r="143" spans="1:12" x14ac:dyDescent="0.3">
      <c r="J143" s="26"/>
      <c r="K143" s="26"/>
      <c r="L143" s="26"/>
    </row>
    <row r="144" spans="1:12" x14ac:dyDescent="0.3">
      <c r="J144" s="26"/>
      <c r="K144" s="26"/>
      <c r="L144" s="26"/>
    </row>
    <row r="145" spans="10:12" x14ac:dyDescent="0.3">
      <c r="J145" s="26"/>
      <c r="K145" s="26"/>
      <c r="L145" s="26"/>
    </row>
    <row r="146" spans="10:12" x14ac:dyDescent="0.3">
      <c r="J146" s="26"/>
      <c r="K146" s="26"/>
      <c r="L146" s="26"/>
    </row>
    <row r="147" spans="10:12" x14ac:dyDescent="0.3">
      <c r="J147" s="26"/>
      <c r="K147" s="26"/>
      <c r="L147" s="26"/>
    </row>
    <row r="148" spans="10:12" x14ac:dyDescent="0.3">
      <c r="J148" s="26"/>
      <c r="K148" s="26"/>
      <c r="L148" s="26"/>
    </row>
    <row r="149" spans="10:12" x14ac:dyDescent="0.3">
      <c r="J149" s="26"/>
      <c r="K149" s="26"/>
      <c r="L149" s="26"/>
    </row>
    <row r="150" spans="10:12" x14ac:dyDescent="0.3">
      <c r="J150" s="26"/>
      <c r="K150" s="26"/>
      <c r="L150" s="26"/>
    </row>
  </sheetData>
  <mergeCells count="26">
    <mergeCell ref="A1:N1"/>
    <mergeCell ref="A3:N3"/>
    <mergeCell ref="A2:N2"/>
    <mergeCell ref="N5:N6"/>
    <mergeCell ref="M5:M6"/>
    <mergeCell ref="D5:D6"/>
    <mergeCell ref="H5:H6"/>
    <mergeCell ref="A5:A6"/>
    <mergeCell ref="F5:F6"/>
    <mergeCell ref="E5:E6"/>
    <mergeCell ref="B5:B6"/>
    <mergeCell ref="G5:G6"/>
    <mergeCell ref="Q3:T3"/>
    <mergeCell ref="I5:K5"/>
    <mergeCell ref="Q24:T24"/>
    <mergeCell ref="Q36:T36"/>
    <mergeCell ref="T37:T38"/>
    <mergeCell ref="S37:S38"/>
    <mergeCell ref="R37:R38"/>
    <mergeCell ref="Q37:Q38"/>
    <mergeCell ref="Q4:T8"/>
    <mergeCell ref="Q11:T11"/>
    <mergeCell ref="T12:T13"/>
    <mergeCell ref="S12:S13"/>
    <mergeCell ref="R12:R13"/>
    <mergeCell ref="Q12:Q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F851-A868-43B0-90C4-F5EBC01A6083}">
  <dimension ref="A1:M18"/>
  <sheetViews>
    <sheetView showGridLines="0" workbookViewId="0">
      <selection activeCell="F11" sqref="F11"/>
    </sheetView>
  </sheetViews>
  <sheetFormatPr defaultRowHeight="14.4" x14ac:dyDescent="0.3"/>
  <cols>
    <col min="4" max="6" width="10.109375" bestFit="1" customWidth="1"/>
    <col min="7" max="7" width="10.5546875" bestFit="1" customWidth="1"/>
    <col min="8" max="8" width="10.109375" bestFit="1" customWidth="1"/>
  </cols>
  <sheetData>
    <row r="1" spans="1:13" s="2" customFormat="1" ht="46.2" x14ac:dyDescent="0.8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3.8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399999999999999" x14ac:dyDescent="0.35">
      <c r="A3" s="90" t="s">
        <v>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6" spans="1:13" x14ac:dyDescent="0.3">
      <c r="B6" s="91" t="s">
        <v>51</v>
      </c>
      <c r="C6" s="92"/>
      <c r="D6" s="92"/>
      <c r="E6" s="92"/>
      <c r="F6" s="93"/>
      <c r="H6" s="91" t="s">
        <v>88</v>
      </c>
      <c r="I6" s="92"/>
      <c r="J6" s="92"/>
      <c r="K6" s="92"/>
      <c r="L6" s="93"/>
    </row>
    <row r="7" spans="1:13" x14ac:dyDescent="0.3">
      <c r="B7" s="14"/>
      <c r="C7" s="15"/>
      <c r="D7" s="15"/>
      <c r="E7" s="15"/>
      <c r="F7" s="16"/>
      <c r="H7" s="14" t="s">
        <v>117</v>
      </c>
      <c r="I7" s="15"/>
      <c r="J7" s="72">
        <v>2.5</v>
      </c>
      <c r="K7" s="15"/>
      <c r="L7" s="16"/>
    </row>
    <row r="8" spans="1:13" x14ac:dyDescent="0.3">
      <c r="B8" s="17" t="s">
        <v>14</v>
      </c>
      <c r="C8" s="51"/>
      <c r="D8" s="51"/>
      <c r="E8" s="46">
        <f>SUM(F9:F16)</f>
        <v>2300</v>
      </c>
      <c r="F8" s="20"/>
      <c r="H8" s="17" t="s">
        <v>119</v>
      </c>
      <c r="I8" s="51"/>
      <c r="J8" s="73">
        <v>250</v>
      </c>
      <c r="K8" s="51"/>
      <c r="L8" s="20"/>
    </row>
    <row r="9" spans="1:13" x14ac:dyDescent="0.3">
      <c r="B9" s="17" t="s">
        <v>53</v>
      </c>
      <c r="C9" s="51"/>
      <c r="D9" s="51"/>
      <c r="E9" s="46"/>
      <c r="F9" s="19">
        <f>J11</f>
        <v>875</v>
      </c>
      <c r="H9" s="17" t="s">
        <v>93</v>
      </c>
      <c r="I9" s="51"/>
      <c r="J9" s="73">
        <v>250</v>
      </c>
      <c r="K9" s="51"/>
      <c r="L9" s="20"/>
    </row>
    <row r="10" spans="1:13" x14ac:dyDescent="0.3">
      <c r="B10" s="17" t="s">
        <v>121</v>
      </c>
      <c r="C10" s="51"/>
      <c r="D10" s="51"/>
      <c r="E10" s="51"/>
      <c r="F10" s="19">
        <f>J18</f>
        <v>800</v>
      </c>
      <c r="H10" s="17"/>
      <c r="I10" s="51"/>
      <c r="J10" s="73"/>
      <c r="K10" s="51"/>
      <c r="L10" s="20"/>
    </row>
    <row r="11" spans="1:13" x14ac:dyDescent="0.3">
      <c r="B11" s="17" t="s">
        <v>110</v>
      </c>
      <c r="E11" s="18"/>
      <c r="F11" s="19">
        <v>300</v>
      </c>
      <c r="H11" s="21" t="s">
        <v>118</v>
      </c>
      <c r="I11" s="22"/>
      <c r="J11" s="74">
        <f>(J7*J8)+J9</f>
        <v>875</v>
      </c>
      <c r="K11" s="22"/>
      <c r="L11" s="23"/>
    </row>
    <row r="12" spans="1:13" x14ac:dyDescent="0.3">
      <c r="B12" s="17" t="s">
        <v>127</v>
      </c>
      <c r="E12" s="18"/>
      <c r="F12" s="19">
        <v>10</v>
      </c>
    </row>
    <row r="13" spans="1:13" x14ac:dyDescent="0.3">
      <c r="B13" s="17" t="s">
        <v>54</v>
      </c>
      <c r="E13" s="18"/>
      <c r="F13" s="19">
        <v>200</v>
      </c>
      <c r="H13" s="91" t="s">
        <v>83</v>
      </c>
      <c r="I13" s="92"/>
      <c r="J13" s="92"/>
      <c r="K13" s="92"/>
      <c r="L13" s="93"/>
    </row>
    <row r="14" spans="1:13" x14ac:dyDescent="0.3">
      <c r="B14" s="17" t="s">
        <v>113</v>
      </c>
      <c r="E14" s="18"/>
      <c r="F14" s="19">
        <v>115</v>
      </c>
      <c r="H14" s="14" t="s">
        <v>120</v>
      </c>
      <c r="I14" s="15"/>
      <c r="J14" s="72">
        <f>L18</f>
        <v>20</v>
      </c>
      <c r="K14" s="103" t="s">
        <v>122</v>
      </c>
      <c r="L14" s="122"/>
    </row>
    <row r="15" spans="1:13" x14ac:dyDescent="0.3">
      <c r="B15" s="17"/>
      <c r="C15" s="51"/>
      <c r="D15" s="51"/>
      <c r="E15" s="51"/>
      <c r="F15" s="71"/>
      <c r="H15" s="17" t="s">
        <v>119</v>
      </c>
      <c r="I15" s="51"/>
      <c r="J15" s="73">
        <v>40</v>
      </c>
      <c r="K15" s="17" t="s">
        <v>123</v>
      </c>
      <c r="L15" s="71">
        <v>16</v>
      </c>
    </row>
    <row r="16" spans="1:13" x14ac:dyDescent="0.3">
      <c r="B16" s="21"/>
      <c r="C16" s="22"/>
      <c r="D16" s="22"/>
      <c r="E16" s="22"/>
      <c r="F16" s="23"/>
      <c r="H16" s="17" t="s">
        <v>93</v>
      </c>
      <c r="I16" s="51"/>
      <c r="J16" s="73">
        <v>0</v>
      </c>
      <c r="K16" s="17" t="s">
        <v>124</v>
      </c>
      <c r="L16" s="71">
        <v>2</v>
      </c>
    </row>
    <row r="17" spans="2:12" x14ac:dyDescent="0.3">
      <c r="H17" s="17"/>
      <c r="I17" s="51"/>
      <c r="J17" s="73"/>
      <c r="K17" s="17" t="s">
        <v>125</v>
      </c>
      <c r="L17" s="71">
        <v>2</v>
      </c>
    </row>
    <row r="18" spans="2:12" x14ac:dyDescent="0.3">
      <c r="B18" s="24" t="s">
        <v>106</v>
      </c>
      <c r="C18" s="24"/>
      <c r="D18" s="48">
        <v>2300</v>
      </c>
      <c r="E18" s="24"/>
      <c r="F18" s="24"/>
      <c r="H18" s="21" t="s">
        <v>95</v>
      </c>
      <c r="I18" s="22"/>
      <c r="J18" s="74">
        <f>(J14*J15)+J16</f>
        <v>800</v>
      </c>
      <c r="K18" s="21" t="s">
        <v>95</v>
      </c>
      <c r="L18" s="75">
        <f>SUM(L15:L17)</f>
        <v>20</v>
      </c>
    </row>
  </sheetData>
  <mergeCells count="7">
    <mergeCell ref="H13:L13"/>
    <mergeCell ref="K14:L14"/>
    <mergeCell ref="A1:M1"/>
    <mergeCell ref="A2:M2"/>
    <mergeCell ref="A3:M3"/>
    <mergeCell ref="B6:F6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1810-FDAB-44C2-B1F8-5AD4EB122A5D}">
  <dimension ref="A1:M20"/>
  <sheetViews>
    <sheetView showGridLines="0" workbookViewId="0">
      <selection activeCell="E22" sqref="E22"/>
    </sheetView>
  </sheetViews>
  <sheetFormatPr defaultRowHeight="14.4" x14ac:dyDescent="0.3"/>
  <cols>
    <col min="4" max="4" width="10.109375" bestFit="1" customWidth="1"/>
    <col min="8" max="8" width="10.109375" bestFit="1" customWidth="1"/>
  </cols>
  <sheetData>
    <row r="1" spans="1:13" s="2" customFormat="1" ht="46.2" x14ac:dyDescent="0.8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3.8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399999999999999" x14ac:dyDescent="0.35">
      <c r="A3" s="90" t="s">
        <v>87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5" spans="1:13" x14ac:dyDescent="0.3">
      <c r="B5" s="91" t="s">
        <v>88</v>
      </c>
      <c r="C5" s="92"/>
      <c r="D5" s="93"/>
      <c r="F5" s="91" t="s">
        <v>89</v>
      </c>
      <c r="G5" s="92"/>
      <c r="H5" s="93"/>
      <c r="J5" s="91" t="s">
        <v>90</v>
      </c>
      <c r="K5" s="92"/>
      <c r="L5" s="93"/>
    </row>
    <row r="6" spans="1:13" x14ac:dyDescent="0.3">
      <c r="B6" s="17" t="s">
        <v>114</v>
      </c>
      <c r="D6" s="19">
        <v>20</v>
      </c>
      <c r="F6" s="17" t="s">
        <v>114</v>
      </c>
      <c r="H6" s="19">
        <v>45</v>
      </c>
      <c r="J6" s="17" t="s">
        <v>91</v>
      </c>
      <c r="L6" s="19">
        <v>2.5</v>
      </c>
    </row>
    <row r="7" spans="1:13" x14ac:dyDescent="0.3">
      <c r="B7" s="17" t="s">
        <v>92</v>
      </c>
      <c r="D7" s="55">
        <v>250</v>
      </c>
      <c r="F7" s="17" t="s">
        <v>92</v>
      </c>
      <c r="H7" s="55">
        <v>40</v>
      </c>
      <c r="J7" s="17" t="s">
        <v>93</v>
      </c>
      <c r="L7" s="19">
        <v>1</v>
      </c>
    </row>
    <row r="8" spans="1:13" x14ac:dyDescent="0.3">
      <c r="B8" s="56" t="s">
        <v>94</v>
      </c>
      <c r="D8" s="19"/>
      <c r="F8" s="56" t="s">
        <v>94</v>
      </c>
      <c r="H8" s="19"/>
      <c r="J8" s="21" t="s">
        <v>95</v>
      </c>
      <c r="K8" s="22"/>
      <c r="L8" s="45">
        <f>SUM(L6:L7)</f>
        <v>3.5</v>
      </c>
    </row>
    <row r="9" spans="1:13" x14ac:dyDescent="0.3">
      <c r="B9" s="17" t="s">
        <v>96</v>
      </c>
      <c r="D9" s="19">
        <f>L8</f>
        <v>3.5</v>
      </c>
      <c r="F9" s="17" t="s">
        <v>96</v>
      </c>
      <c r="H9" s="19">
        <f>L13</f>
        <v>20</v>
      </c>
    </row>
    <row r="10" spans="1:13" x14ac:dyDescent="0.3">
      <c r="B10" s="17" t="s">
        <v>97</v>
      </c>
      <c r="D10" s="19">
        <f>(L20/2)/D7</f>
        <v>1.02</v>
      </c>
      <c r="F10" s="17" t="s">
        <v>97</v>
      </c>
      <c r="H10" s="19">
        <f>(L20/2)/H7</f>
        <v>6.375</v>
      </c>
      <c r="J10" s="91" t="s">
        <v>98</v>
      </c>
      <c r="K10" s="92"/>
      <c r="L10" s="93"/>
    </row>
    <row r="11" spans="1:13" x14ac:dyDescent="0.3">
      <c r="B11" s="17" t="s">
        <v>99</v>
      </c>
      <c r="D11" s="19">
        <f>SUM(D9:D10)</f>
        <v>4.5199999999999996</v>
      </c>
      <c r="F11" s="17" t="s">
        <v>99</v>
      </c>
      <c r="H11" s="19">
        <f>SUM(H9:H10)</f>
        <v>26.375</v>
      </c>
      <c r="J11" s="17" t="s">
        <v>91</v>
      </c>
      <c r="L11" s="19">
        <v>20</v>
      </c>
    </row>
    <row r="12" spans="1:13" x14ac:dyDescent="0.3">
      <c r="B12" s="56" t="s">
        <v>100</v>
      </c>
      <c r="D12" s="19"/>
      <c r="F12" s="56" t="s">
        <v>100</v>
      </c>
      <c r="H12" s="19"/>
      <c r="J12" s="17" t="s">
        <v>93</v>
      </c>
      <c r="L12" s="19">
        <v>0</v>
      </c>
    </row>
    <row r="13" spans="1:13" x14ac:dyDescent="0.3">
      <c r="B13" s="17" t="s">
        <v>101</v>
      </c>
      <c r="D13" s="19">
        <f>D6-D11</f>
        <v>15.48</v>
      </c>
      <c r="F13" s="17" t="s">
        <v>101</v>
      </c>
      <c r="H13" s="19">
        <f>H6-H11</f>
        <v>18.625</v>
      </c>
      <c r="J13" s="21" t="s">
        <v>95</v>
      </c>
      <c r="K13" s="22"/>
      <c r="L13" s="45">
        <f>SUM(L11:L12)</f>
        <v>20</v>
      </c>
    </row>
    <row r="14" spans="1:13" x14ac:dyDescent="0.3">
      <c r="B14" s="17" t="s">
        <v>102</v>
      </c>
      <c r="D14" s="19">
        <f>(D6*D7)-(D11*D7)</f>
        <v>3870</v>
      </c>
      <c r="F14" s="17" t="s">
        <v>102</v>
      </c>
      <c r="H14" s="19">
        <f>(H6*H7)-(H11*H7)</f>
        <v>745</v>
      </c>
    </row>
    <row r="15" spans="1:13" x14ac:dyDescent="0.3">
      <c r="B15" s="56" t="s">
        <v>103</v>
      </c>
      <c r="D15" s="19"/>
      <c r="F15" s="56" t="s">
        <v>103</v>
      </c>
      <c r="H15" s="19"/>
      <c r="J15" s="91" t="s">
        <v>104</v>
      </c>
      <c r="K15" s="92"/>
      <c r="L15" s="93"/>
    </row>
    <row r="16" spans="1:13" x14ac:dyDescent="0.3">
      <c r="B16" s="21" t="s">
        <v>105</v>
      </c>
      <c r="C16" s="22"/>
      <c r="D16" s="57">
        <f>((D7*D9)+(L20/2))/D6</f>
        <v>56.5</v>
      </c>
      <c r="F16" s="21" t="s">
        <v>105</v>
      </c>
      <c r="G16" s="22"/>
      <c r="H16" s="57">
        <f>((H7*H9)+(L20/2))/H6</f>
        <v>23.444444444444443</v>
      </c>
      <c r="J16" s="17" t="s">
        <v>35</v>
      </c>
      <c r="L16" s="19">
        <v>300</v>
      </c>
    </row>
    <row r="17" spans="10:12" x14ac:dyDescent="0.3">
      <c r="J17" s="17" t="s">
        <v>130</v>
      </c>
      <c r="L17" s="19">
        <v>10</v>
      </c>
    </row>
    <row r="18" spans="10:12" x14ac:dyDescent="0.3">
      <c r="J18" s="17" t="s">
        <v>112</v>
      </c>
      <c r="L18" s="19">
        <v>200</v>
      </c>
    </row>
    <row r="19" spans="10:12" x14ac:dyDescent="0.3">
      <c r="J19" s="17"/>
      <c r="L19" s="19"/>
    </row>
    <row r="20" spans="10:12" x14ac:dyDescent="0.3">
      <c r="J20" s="21" t="s">
        <v>95</v>
      </c>
      <c r="K20" s="22"/>
      <c r="L20" s="45">
        <f>SUM(L16:L19)</f>
        <v>510</v>
      </c>
    </row>
  </sheetData>
  <mergeCells count="8">
    <mergeCell ref="J10:L10"/>
    <mergeCell ref="J15:L15"/>
    <mergeCell ref="A1:M1"/>
    <mergeCell ref="A2:M2"/>
    <mergeCell ref="A3:M3"/>
    <mergeCell ref="B5:D5"/>
    <mergeCell ref="F5:H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 &amp; Income Statemen</vt:lpstr>
      <vt:lpstr>Inventory &amp; Sales</vt:lpstr>
      <vt:lpstr>Borrowing Base Certificate</vt:lpstr>
      <vt:lpstr>Breakeven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Riess</dc:creator>
  <cp:lastModifiedBy>Dylan Riess</cp:lastModifiedBy>
  <dcterms:created xsi:type="dcterms:W3CDTF">2019-02-17T01:18:06Z</dcterms:created>
  <dcterms:modified xsi:type="dcterms:W3CDTF">2019-02-27T20:50:38Z</dcterms:modified>
</cp:coreProperties>
</file>